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1485" windowWidth="12120" windowHeight="11640" tabRatio="841"/>
  </bookViews>
  <sheets>
    <sheet name="Erhvervelse og fornyelse(100)" sheetId="1" r:id="rId1"/>
    <sheet name="Hæk(200)" sheetId="14" r:id="rId2"/>
    <sheet name="Timekostprisberegning(300)" sheetId="3" r:id="rId3"/>
    <sheet name="Gravning Kister og urner(400)" sheetId="2" r:id="rId4"/>
    <sheet name="Renholdese Kistegrav (500)" sheetId="4" r:id="rId5"/>
    <sheet name="Renholdelse Urnegrav(600)" sheetId="7" r:id="rId6"/>
    <sheet name="Plantning af Stedmoder(700)" sheetId="5" r:id="rId7"/>
    <sheet name="Plantning af begonia(800)" sheetId="11" r:id="rId8"/>
    <sheet name="Gran kistegrav(900)" sheetId="13" r:id="rId9"/>
    <sheet name="Gran urnegrav(1000)" sheetId="15" r:id="rId10"/>
  </sheets>
  <definedNames>
    <definedName name="_xlnm.Print_Titles" localSheetId="0">'Erhvervelse og fornyelse(100)'!$3:$6</definedName>
  </definedNames>
  <calcPr calcId="125725"/>
</workbook>
</file>

<file path=xl/calcChain.xml><?xml version="1.0" encoding="utf-8"?>
<calcChain xmlns="http://schemas.openxmlformats.org/spreadsheetml/2006/main">
  <c r="C23" i="1"/>
  <c r="C33" i="3"/>
  <c r="C32"/>
  <c r="C31"/>
  <c r="C17"/>
  <c r="C9" i="15"/>
  <c r="C8"/>
  <c r="C7"/>
  <c r="C6"/>
  <c r="C34"/>
  <c r="C34" i="13"/>
  <c r="C15" i="15"/>
  <c r="C15" i="13"/>
  <c r="C7" i="11"/>
  <c r="C11" i="1"/>
  <c r="C14"/>
  <c r="C19"/>
  <c r="C22"/>
  <c r="C24" s="1"/>
  <c r="C41" s="1"/>
  <c r="C42"/>
  <c r="C43"/>
  <c r="C24" i="13"/>
  <c r="C39"/>
  <c r="C24" i="15"/>
  <c r="C39"/>
  <c r="C12" i="2"/>
  <c r="C25"/>
  <c r="C12" i="11"/>
  <c r="C11" i="5"/>
  <c r="C12" i="7"/>
  <c r="C14"/>
  <c r="C12" i="4"/>
  <c r="C14"/>
  <c r="C15"/>
  <c r="C14" i="3"/>
  <c r="C20"/>
  <c r="C22"/>
  <c r="C25"/>
  <c r="C28"/>
  <c r="C35"/>
  <c r="C38"/>
  <c r="C40"/>
  <c r="C43"/>
  <c r="C23" i="13"/>
  <c r="C26"/>
  <c r="C28"/>
  <c r="C29" i="4"/>
  <c r="C24"/>
  <c r="C19"/>
  <c r="C17" i="7"/>
  <c r="C10" i="5"/>
  <c r="C13"/>
  <c r="C15"/>
  <c r="C11" i="11"/>
  <c r="C14"/>
  <c r="C16"/>
  <c r="C47" i="14"/>
  <c r="C43"/>
  <c r="C44"/>
  <c r="C48"/>
  <c r="C32"/>
  <c r="C28"/>
  <c r="C29"/>
  <c r="C33"/>
  <c r="C17"/>
  <c r="C13"/>
  <c r="C14"/>
  <c r="C18"/>
  <c r="C27" i="2"/>
  <c r="C16"/>
  <c r="C38" i="15"/>
  <c r="C41"/>
  <c r="C43"/>
  <c r="C23"/>
  <c r="C26"/>
  <c r="C28"/>
  <c r="C38" i="13"/>
  <c r="C41"/>
  <c r="C43"/>
  <c r="C19" i="14"/>
  <c r="C20"/>
  <c r="C67" i="1"/>
  <c r="C34" i="14"/>
  <c r="C35"/>
  <c r="C79" i="1"/>
  <c r="C49" i="14"/>
  <c r="C50"/>
  <c r="C54" i="1"/>
  <c r="C18" i="7"/>
  <c r="C19"/>
  <c r="C20" i="4"/>
  <c r="C21"/>
  <c r="C25"/>
  <c r="C26"/>
  <c r="C30"/>
  <c r="C31"/>
  <c r="C40" i="1" l="1"/>
  <c r="C44" s="1"/>
  <c r="C50" l="1"/>
  <c r="C51" s="1"/>
  <c r="C56" s="1"/>
  <c r="C58" s="1"/>
  <c r="C63"/>
  <c r="C64" s="1"/>
  <c r="C69" s="1"/>
  <c r="C71" s="1"/>
  <c r="C75"/>
  <c r="C76" s="1"/>
  <c r="C81" s="1"/>
  <c r="C83" s="1"/>
</calcChain>
</file>

<file path=xl/sharedStrings.xml><?xml version="1.0" encoding="utf-8"?>
<sst xmlns="http://schemas.openxmlformats.org/spreadsheetml/2006/main" count="518" uniqueCount="216">
  <si>
    <t>Samlede lønudgifter</t>
  </si>
  <si>
    <t>Lønudgifter:</t>
  </si>
  <si>
    <t>Etableringsudgifter:</t>
  </si>
  <si>
    <t>Etableringsudgifter i alt</t>
  </si>
  <si>
    <t>Beregninger:</t>
  </si>
  <si>
    <t>Kr.</t>
  </si>
  <si>
    <t>År</t>
  </si>
  <si>
    <t>Urnegravsted</t>
  </si>
  <si>
    <t>Enkelt kistegravsted</t>
  </si>
  <si>
    <r>
      <t>m</t>
    </r>
    <r>
      <rPr>
        <vertAlign val="superscript"/>
        <sz val="8"/>
        <rFont val="Arial"/>
        <family val="2"/>
      </rPr>
      <t>2</t>
    </r>
  </si>
  <si>
    <t>Indtastningsfelter</t>
  </si>
  <si>
    <t>Beregningsfelter</t>
  </si>
  <si>
    <t>Resultat</t>
  </si>
  <si>
    <t>Timekostprisberegning</t>
  </si>
  <si>
    <t>Antal</t>
  </si>
  <si>
    <t>Gennemsnitsløn pr. år</t>
  </si>
  <si>
    <t>Timer</t>
  </si>
  <si>
    <t>Ferie</t>
  </si>
  <si>
    <t>Særlige feriedage</t>
  </si>
  <si>
    <t>Skæve helligdage</t>
  </si>
  <si>
    <t>Kurser</t>
  </si>
  <si>
    <t>Sygefravær</t>
  </si>
  <si>
    <t>Timer til administration</t>
  </si>
  <si>
    <t>Rest timer til brug på kirkegården</t>
  </si>
  <si>
    <t>Timekostpris pr. produktiv time</t>
  </si>
  <si>
    <t>Administrationsudgifter:</t>
  </si>
  <si>
    <t>Samlet timekostpris for kirkegården:</t>
  </si>
  <si>
    <t>Rydning og klargøring af gravstedet</t>
  </si>
  <si>
    <t>Tilstede ved begravelse. 1 mand</t>
  </si>
  <si>
    <t>Efterbehandling og sætning</t>
  </si>
  <si>
    <t>min.</t>
  </si>
  <si>
    <t>I alt</t>
  </si>
  <si>
    <t>Tidsforbrug</t>
  </si>
  <si>
    <t>Indkøbspris pr. plante</t>
  </si>
  <si>
    <t>Udgift i alt til plantning (timekostpris x  tidsforbrug)</t>
  </si>
  <si>
    <t>Udgift i alt til indkøb (indkøbspris x antal)</t>
  </si>
  <si>
    <t>Udgift i alt</t>
  </si>
  <si>
    <t>Kostpris pr. plantet stedmoder (udgift i alt / antal)</t>
  </si>
  <si>
    <t>Udgift i alt til indkøb. Planter, spagnum og gødning (indkøbspris x antal + spagnum)</t>
  </si>
  <si>
    <t>Forbrug af spagnum og gødning</t>
  </si>
  <si>
    <t>Stk.</t>
  </si>
  <si>
    <t>Kg.</t>
  </si>
  <si>
    <t>Udgift til løn i alt (timekostpris x  tidsforbrug)</t>
  </si>
  <si>
    <t>Forbrug:</t>
  </si>
  <si>
    <t>I alt pr. dag</t>
  </si>
  <si>
    <t>Størrelser på gravsteder:</t>
  </si>
  <si>
    <t>Årsnormen</t>
  </si>
  <si>
    <t>Øvrige driftsudgifter:</t>
  </si>
  <si>
    <t>2. omgang. Beskæring, kultivering og udlægning af perlesten</t>
  </si>
  <si>
    <t>fastlåst</t>
  </si>
  <si>
    <t>Pris på ryghækplanter pr. stk.</t>
  </si>
  <si>
    <t>Pris på udskiftning</t>
  </si>
  <si>
    <t>Pris på udskiftning pr. år</t>
  </si>
  <si>
    <t>Min</t>
  </si>
  <si>
    <t>Tidsforbrug ved kistebegravelse:</t>
  </si>
  <si>
    <t>Tidsforbrug ved urnenedsættelse:</t>
  </si>
  <si>
    <t>Klargøring af gravsted samt gravning</t>
  </si>
  <si>
    <t>Nedsætning og tildækning samt pyntning af graven</t>
  </si>
  <si>
    <t>Gravning og tilkastning af grave (kister og urner)</t>
  </si>
  <si>
    <t>Moms</t>
  </si>
  <si>
    <t xml:space="preserve">Pris på ryghækplanter pr. stk. </t>
  </si>
  <si>
    <t xml:space="preserve">Pris på ryghækplanter pr. stk.  </t>
  </si>
  <si>
    <t>Produktive timer pr. medarbejder</t>
  </si>
  <si>
    <t>Forbrug af nordmannsgran pr. gravsted.</t>
  </si>
  <si>
    <t>I alt pr. dag.</t>
  </si>
  <si>
    <r>
      <t>Lønudgifter til generel drift &amp; vedligeholdelse af fællesarealer fordelt på gravstedsareal pr. m</t>
    </r>
    <r>
      <rPr>
        <vertAlign val="superscript"/>
        <sz val="8"/>
        <rFont val="Arial"/>
        <family val="2"/>
      </rPr>
      <t xml:space="preserve">2 </t>
    </r>
    <r>
      <rPr>
        <sz val="8"/>
        <rFont val="Arial"/>
        <family val="2"/>
      </rPr>
      <t>pr. år.</t>
    </r>
  </si>
  <si>
    <r>
      <t>Driftsudgifter vedr. fællesarealer fordelt på gravstedsareal pr. m</t>
    </r>
    <r>
      <rPr>
        <vertAlign val="superscript"/>
        <sz val="8"/>
        <rFont val="Arial"/>
        <family val="2"/>
      </rPr>
      <t xml:space="preserve">2 </t>
    </r>
    <r>
      <rPr>
        <sz val="8"/>
        <rFont val="Arial"/>
        <family val="2"/>
      </rPr>
      <t>pr. år.</t>
    </r>
  </si>
  <si>
    <r>
      <t xml:space="preserve">Lønudgifter: </t>
    </r>
    <r>
      <rPr>
        <sz val="8"/>
        <rFont val="Arial"/>
        <family val="2"/>
      </rPr>
      <t xml:space="preserve"> Samlede lønudgifter</t>
    </r>
  </si>
  <si>
    <t>Forbrug af nordmannsgran pr.  gravsted.</t>
  </si>
  <si>
    <t>Forbrug af fyr pr.  gravsted.</t>
  </si>
  <si>
    <t>Forbrug af nobilis pr. gravsted.</t>
  </si>
  <si>
    <t>Forbrug af andet pyntegrønt pr. gravsted.</t>
  </si>
  <si>
    <r>
      <t>Samlet udgifter til erhvervelse og fornyelse pr. m</t>
    </r>
    <r>
      <rPr>
        <b/>
        <vertAlign val="superscript"/>
        <sz val="8"/>
        <rFont val="Arial"/>
        <family val="2"/>
      </rPr>
      <t xml:space="preserve">2 </t>
    </r>
    <r>
      <rPr>
        <b/>
        <sz val="8"/>
        <rFont val="Arial"/>
        <family val="2"/>
      </rPr>
      <t xml:space="preserve">pr. år </t>
    </r>
  </si>
  <si>
    <t>Timekostpris pr. produktiv time ganget med administrationstimer</t>
  </si>
  <si>
    <r>
      <t>Tidsforbrug for urnegravsted på 0,5-1,99 m</t>
    </r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 xml:space="preserve"> </t>
    </r>
  </si>
  <si>
    <r>
      <t>Hækudskiftning pr. urnegravsted fra 0,5 til  2 m</t>
    </r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 xml:space="preserve"> </t>
    </r>
  </si>
  <si>
    <t>Antal enkeltgravsteder pr. dag pr. mand</t>
  </si>
  <si>
    <t>Forbrug af nordmannsgran pr. enkeltgrav</t>
  </si>
  <si>
    <t>Forbrug af fyr pr. enkeltgrav</t>
  </si>
  <si>
    <t>Forbrug af andet pyntegrønt pr. enkeltgrav</t>
  </si>
  <si>
    <t>Kistegrave</t>
  </si>
  <si>
    <t>Ren og vedligeholdelse af kistegravsteder</t>
  </si>
  <si>
    <t>Timer pr. år pr. medarbejder:</t>
  </si>
  <si>
    <t>Felt numre</t>
  </si>
  <si>
    <t>Indkøbspris for det samlede kirkegårdsareal.</t>
  </si>
  <si>
    <t>Hækklipning (Bruges kun når det ikke er servitutbestemt)</t>
  </si>
  <si>
    <r>
      <t>Urnegrave (fra 0,5 til 1,99 m</t>
    </r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>)</t>
    </r>
  </si>
  <si>
    <t>Granpyntning med flere slags gran.</t>
  </si>
  <si>
    <t xml:space="preserve">Antal urnegravsteder pr. dag pr. mand. </t>
  </si>
  <si>
    <t>Grandækning med en slags gran.</t>
  </si>
  <si>
    <t>Antal urnegravsteder pr. dag pr. mand.</t>
  </si>
  <si>
    <t xml:space="preserve"> </t>
  </si>
  <si>
    <t>Anlægsudgifter (Terrænregulering, dræning, kloakering, etablering af gange, beplantning, belysning m.v.). Nyværdi</t>
  </si>
  <si>
    <t xml:space="preserve">Holdbarhedstid på kirkegårdsanlæg samt bygninger i år ( Afskrivningsperiode) </t>
  </si>
  <si>
    <t>Tidsangivelser:</t>
  </si>
  <si>
    <t xml:space="preserve">Fredningstid for urnegravsteder </t>
  </si>
  <si>
    <t xml:space="preserve">Fredningstid for kistegravsteder </t>
  </si>
  <si>
    <r>
      <t>Pris for urnegravsted på 1,0 m</t>
    </r>
    <r>
      <rPr>
        <b/>
        <vertAlign val="superscript"/>
        <sz val="8"/>
        <rFont val="Arial"/>
        <family val="2"/>
      </rPr>
      <t xml:space="preserve">2 </t>
    </r>
  </si>
  <si>
    <t>Erhvervelse eller fornyelse pr. år</t>
  </si>
  <si>
    <t>Hækvedligeholdelse i en fredningsperiode (se felt nummer 237)</t>
  </si>
  <si>
    <t>Evt. renholdelse i en fredningsperiode</t>
  </si>
  <si>
    <t>Urnegravsted - pris for erhvervelse eller fornyelse i en fredningsperiode inkl. servitutudgifter og moms</t>
  </si>
  <si>
    <r>
      <t>Pris for enkelt kistegravsted på 3,25 m</t>
    </r>
    <r>
      <rPr>
        <b/>
        <vertAlign val="superscript"/>
        <sz val="8"/>
        <rFont val="Arial"/>
        <family val="2"/>
      </rPr>
      <t>2</t>
    </r>
  </si>
  <si>
    <r>
      <t>Pris for dobbelt kistegravsted på 6,50 m</t>
    </r>
    <r>
      <rPr>
        <b/>
        <vertAlign val="superscript"/>
        <sz val="8"/>
        <rFont val="Arial"/>
        <family val="2"/>
      </rPr>
      <t>2</t>
    </r>
  </si>
  <si>
    <t>Hækvedligeholdelse i en fredningsperiode (se felt nummer 213)</t>
  </si>
  <si>
    <t>Hækvedligeholdelse i en fredningsperiode (se felt nummer 225 )</t>
  </si>
  <si>
    <t>Areal anvendt til gravsteder   (se vejledning)</t>
  </si>
  <si>
    <t>Bygninger (Til mandskab, administration, maskiner m.v.). Nyværdi</t>
  </si>
  <si>
    <t>Udskiftningsfrekvens</t>
  </si>
  <si>
    <t xml:space="preserve">   Timer</t>
  </si>
  <si>
    <t>Lønudgift</t>
  </si>
  <si>
    <t>Fuldtidsansatte. Årsværk for alle ansatte på kirkegården (markpersonale, administration, rengøring og ledelse)</t>
  </si>
  <si>
    <t>Timekostpris (Produktiv time + driftsandel + administrationsandel)</t>
  </si>
  <si>
    <t>Omkostningspris for dobbeltgravsted inkl. moms</t>
  </si>
  <si>
    <t>Omkostningspris for enkeltgravsted inkl. moms</t>
  </si>
  <si>
    <t>Omkostningspris for enkeltgravsted. Timer X timekostpris</t>
  </si>
  <si>
    <t>Omkostningspris for dobbeltgravsted. Timer X timekostpris</t>
  </si>
  <si>
    <t>Omkostningspris for hver enkeltfag, gravstedet bliver forøget yderligere</t>
  </si>
  <si>
    <t>Omkostningspris for hver yderligere enkeltfag inkl.moms</t>
  </si>
  <si>
    <t>1. omgang. Oprydning efter efterår/vinter</t>
  </si>
  <si>
    <t>Omkostningspris for urnegrav 0,5-1,99 m2 (Timer X timekostpris)</t>
  </si>
  <si>
    <t>Omkostningspris forurnegrav 0,5-1,99 m2 inkl. moms</t>
  </si>
  <si>
    <t>Forbrug af nobilis pr. enkeltgrav</t>
  </si>
  <si>
    <t>Diverse: Affald m.m. pr. dag</t>
  </si>
  <si>
    <t>Granpyntning med flere slags gran:</t>
  </si>
  <si>
    <t>Grandækning med en slags gran:</t>
  </si>
  <si>
    <t>Kostpris for granpyntning pr. enkeltgrav (I alt/ Antal gravsteder pr. dag pr. mand)</t>
  </si>
  <si>
    <t>Kostpris for grandækning pr. enkeltgrav (I alt / Antal gravsteder pr. dag pr. mand.)</t>
  </si>
  <si>
    <t>Diverse: Affald m.m. pr. dag.</t>
  </si>
  <si>
    <t>Udgift til forbrugte materialer (antal grave x pris på forbrug) + diverse</t>
  </si>
  <si>
    <t>Kostpris for granpyntning pr. urnegravsted (I alt/Antal gravsteder pr. dag pr. mand)</t>
  </si>
  <si>
    <t>Kostpris for granækning pr. urnegravsted (I alt / Antal gravsteder pr. dag pr. mand)</t>
  </si>
  <si>
    <t>Antal begonia plantet pr. dag pr. mand</t>
  </si>
  <si>
    <t>Kostpris pr. plantet begonia (udgift i alt / antal)</t>
  </si>
  <si>
    <t>Antal stedmoder plantet pr. dag pr. mand</t>
  </si>
  <si>
    <t xml:space="preserve">Ren- og vedligeholdelse af urnegravsteder </t>
  </si>
  <si>
    <t>Omkostningsberegning:</t>
  </si>
  <si>
    <t>Produktive timer pr. år. Totalt:</t>
  </si>
  <si>
    <t xml:space="preserve">Produktive timer pr. år. </t>
  </si>
  <si>
    <r>
      <t>Hækudskiftning pr enkeltgravsted på 3,25 m2 og urnegravsted over 2 m</t>
    </r>
    <r>
      <rPr>
        <b/>
        <vertAlign val="superscript"/>
        <sz val="8"/>
        <rFont val="Arial"/>
        <family val="2"/>
      </rPr>
      <t xml:space="preserve">2 </t>
    </r>
  </si>
  <si>
    <t xml:space="preserve">Hækudskiftning pr dobbeltgravsted på 6,50 m2 </t>
  </si>
  <si>
    <t>Samlet udgift for hæk pr. år for enkeltgravsted :</t>
  </si>
  <si>
    <t>Samlet udgift for hæk pr. år for enkeltgravsted inkl. moms:</t>
  </si>
  <si>
    <t>Samlet udgift for hæk pr. år for dobbeltgravsted:</t>
  </si>
  <si>
    <t>Samlet udgift for hæk pr. år for  dobbeltgravsted inkl. moms:</t>
  </si>
  <si>
    <t>Samlet udgift for hæk pr. år for urnegravsted:</t>
  </si>
  <si>
    <t>Samlet udgift for hæk pr. år for urnegravsted inkl. moms:</t>
  </si>
  <si>
    <t>(Erhvervelse og fornyelse af gravsteder)</t>
  </si>
  <si>
    <r>
      <t>Indkøbspris for jord i kr. pr. m</t>
    </r>
    <r>
      <rPr>
        <vertAlign val="superscript"/>
        <sz val="8"/>
        <rFont val="Arial"/>
        <family val="2"/>
      </rPr>
      <t xml:space="preserve">2  </t>
    </r>
    <r>
      <rPr>
        <sz val="8"/>
        <rFont val="Arial"/>
        <family val="2"/>
      </rPr>
      <t>(Angiv aktuel pris for anskaffelse af jord i lokalområdet)</t>
    </r>
  </si>
  <si>
    <r>
      <t xml:space="preserve">Driftsudgifter: </t>
    </r>
    <r>
      <rPr>
        <sz val="8"/>
        <rFont val="Arial"/>
        <family val="2"/>
      </rPr>
      <t>Totale driftsudgifter. Forbrugsmaterialer, maskiner, bygningsvedligeholdelse, minus køb til videresalg</t>
    </r>
  </si>
  <si>
    <t>Servitutbestemte udgifter (obligatoriske udgifter)</t>
  </si>
  <si>
    <t>Servitutbestemte udgifter (obligatotiske udgifter)</t>
  </si>
  <si>
    <t>Enkelt kistegravsted - pris for erhvervelse eller fornyelse i en fredningsperiode inkl. servitutudgifter og moms</t>
  </si>
  <si>
    <t>Dobbelt kistegravsted - pris for erhvervelse eller fornyelse i en fredningsperiode inkl. servitutudgifter og moms</t>
  </si>
  <si>
    <t>Erhvervelse eller fornyelse i en fredningsperiode</t>
  </si>
  <si>
    <t>Antal ryghækplanter.</t>
  </si>
  <si>
    <t>Antal side- og forhækplanter</t>
  </si>
  <si>
    <t xml:space="preserve">Pris på side- og forhækplanter pr. stk. </t>
  </si>
  <si>
    <t>Hækklipning og oprivning (oprydning)</t>
  </si>
  <si>
    <t xml:space="preserve">Antal side- og forhækplanter. </t>
  </si>
  <si>
    <t>Pris på side- og forhækplanter pr. stk.</t>
  </si>
  <si>
    <t xml:space="preserve">Antal ryghækplanter </t>
  </si>
  <si>
    <t>Omkostningsberegning</t>
  </si>
  <si>
    <r>
      <t xml:space="preserve">Arealangivelse: </t>
    </r>
    <r>
      <rPr>
        <sz val="8"/>
        <rFont val="Arial"/>
        <family val="2"/>
      </rPr>
      <t xml:space="preserve">Kirkegårdens samlede areal i m2 </t>
    </r>
  </si>
  <si>
    <t>Kirkegårdens samlede areal. Hentes automatisk fra felt 101</t>
  </si>
  <si>
    <t>Areal anvendt til gravsteder. Hentes automatisk fra felt 102</t>
  </si>
  <si>
    <t xml:space="preserve">Totale driftsudgifter. Forbrugsstoffer, maskiner, bygningsvedligeholdelse samt køb til vidersalg.Fra felt 105 </t>
  </si>
  <si>
    <t>Administrationsudgifters andel af timekostprisen</t>
  </si>
  <si>
    <t>Øvrige driftsudgifters andel af timekostprisen</t>
  </si>
  <si>
    <t xml:space="preserve">Transport af mandskab, gravemaskine og jord samt gravning, afstivning m.v.  </t>
  </si>
  <si>
    <t xml:space="preserve">Kirkegårdens tidsforbrug pr. gravning i alt: </t>
  </si>
  <si>
    <t>Total udgift pr. kistegravning ekskl. lør/søn tillæg.</t>
  </si>
  <si>
    <t xml:space="preserve">Leje af entreprenør i kr. ekskl. kirkegårdens tidsforbrug. </t>
  </si>
  <si>
    <t>Tidsforbrug i alt</t>
  </si>
  <si>
    <t>Total udgift pr. urnenedsættelse. Timekostpris x tidsforbrug</t>
  </si>
  <si>
    <r>
      <t>Tidsforbrug årligt for et enkelt kistegravsted og et urnegravsted over 2 m</t>
    </r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 xml:space="preserve">. </t>
    </r>
  </si>
  <si>
    <t xml:space="preserve">Almindelige renholdelsesomgange </t>
  </si>
  <si>
    <t xml:space="preserve">Buketomgange og mindre beskæring. </t>
  </si>
  <si>
    <t>Tidsforbrug på enkeltgravsted</t>
  </si>
  <si>
    <t>Tidsforbrug på dobbelgravsted. (Forbrug på enkeltgravsted + 1 time)</t>
  </si>
  <si>
    <t>Tidsforbrug for hver enkeltfag, gravstedet bliver forøget yderligere.</t>
  </si>
  <si>
    <t>Buketomgange og mindre beskæring.</t>
  </si>
  <si>
    <t>Tidsforbrug pr. urnegravsted.</t>
  </si>
  <si>
    <t>Tidsforbrug. Hentes automatisk fra felt 702</t>
  </si>
  <si>
    <t>Materialepriser:</t>
  </si>
  <si>
    <t>Indkøbspris for fyr pr. kg.</t>
  </si>
  <si>
    <t>Indkøbspris for nordmannsgran pr. kg.</t>
  </si>
  <si>
    <t>Indkøbspris for nobilis pr. kg.</t>
  </si>
  <si>
    <t>Indkøbspris for andet pyntegrønt pr. kg.</t>
  </si>
  <si>
    <t>Tidsforbrug.Hentes automatisk fra felt 702</t>
  </si>
  <si>
    <t>Indkøbsprisris for nordmannsgran pr. kg. Hentes automatisk fra felt 901</t>
  </si>
  <si>
    <t>Indkøbspris for fyr pr. kg. Hentes automatisk fra felt 902</t>
  </si>
  <si>
    <t>Indkøbspris for nobilis pr. kg. Hentes automatisk fra felt 903</t>
  </si>
  <si>
    <t>Indkøbspris for andet pyntegrønt pr. kg. Hentes fra felt 904</t>
  </si>
  <si>
    <t>Lønudgifter til generel drift &amp; vedligeholdelse af fællesarealer.(Eksempelvis til 1/3 af de samlede lønudgifter)</t>
  </si>
  <si>
    <t>Driftsudgifter vedr. fællesarealer.  (Eksempelvis til 1/3 af totale driftsudgifter)</t>
  </si>
  <si>
    <t>Tilkastning samt pyntning af graven. Eksempelvis 2 mand á 2 timer</t>
  </si>
  <si>
    <t>Omkostningsberegning for vedligeholdelse og klipning af hæk</t>
  </si>
  <si>
    <t>Omkostningsberegning for plantning af stedmoder</t>
  </si>
  <si>
    <t>Omkostningsberegning for plantning af begonia</t>
  </si>
  <si>
    <t>Omkostningsberegning for granpålægning</t>
  </si>
  <si>
    <t>Forrentning:</t>
  </si>
  <si>
    <t>%</t>
  </si>
  <si>
    <t>Forrentning af etableringsudgifter fratrukket afskrivninger</t>
  </si>
  <si>
    <t>Etableringsudgifter - afskrivninger</t>
  </si>
  <si>
    <t>Urnegravsted - pris for erhvervelse efter tilskud</t>
  </si>
  <si>
    <t>Enkelt kistegravsted - Pris for erhvervelse efter tilskud</t>
  </si>
  <si>
    <t>Dobbelt kistegravsted - Pris for erhvervelse efter tilskud</t>
  </si>
  <si>
    <t>Pris for kistenedgravning efter tilskud</t>
  </si>
  <si>
    <t>Pris for urnenedsættelse efter tilskud</t>
  </si>
  <si>
    <t>Tilskud til folkekirkemedlemmer</t>
  </si>
  <si>
    <t>Beregning af pris på erhvervelse af brugsret til gravsteder.</t>
  </si>
  <si>
    <r>
      <t>Afskrivning på anlæg og bygninger fordelt på gravstedsareal pr. m</t>
    </r>
    <r>
      <rPr>
        <vertAlign val="superscript"/>
        <sz val="8"/>
        <rFont val="Arial"/>
        <family val="2"/>
      </rPr>
      <t xml:space="preserve">2 </t>
    </r>
    <r>
      <rPr>
        <sz val="8"/>
        <rFont val="Arial"/>
        <family val="2"/>
      </rPr>
      <t>pr. år</t>
    </r>
  </si>
  <si>
    <t>Akkumulerede afskrivninger på anlæg og bygninger</t>
  </si>
  <si>
    <t>Antal år der er afskrevet på anlægsudgiften og bygningen</t>
  </si>
  <si>
    <t>616243/09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</si>
</sst>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0_ ;\-0.00\ "/>
  </numFmts>
  <fonts count="8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color indexed="10"/>
      <name val="Arial"/>
      <family val="2"/>
    </font>
    <font>
      <b/>
      <vertAlign val="superscript"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3" fontId="4" fillId="0" borderId="0" xfId="0" applyNumberFormat="1" applyFont="1"/>
    <xf numFmtId="0" fontId="4" fillId="0" borderId="1" xfId="0" applyFont="1" applyBorder="1"/>
    <xf numFmtId="3" fontId="4" fillId="2" borderId="1" xfId="0" applyNumberFormat="1" applyFont="1" applyFill="1" applyBorder="1"/>
    <xf numFmtId="4" fontId="4" fillId="0" borderId="0" xfId="0" applyNumberFormat="1" applyFont="1"/>
    <xf numFmtId="3" fontId="4" fillId="0" borderId="0" xfId="0" applyNumberFormat="1" applyFont="1" applyBorder="1"/>
    <xf numFmtId="3" fontId="4" fillId="3" borderId="1" xfId="0" applyNumberFormat="1" applyFont="1" applyFill="1" applyBorder="1"/>
    <xf numFmtId="0" fontId="4" fillId="0" borderId="2" xfId="0" applyFont="1" applyBorder="1"/>
    <xf numFmtId="3" fontId="4" fillId="2" borderId="2" xfId="0" applyNumberFormat="1" applyFont="1" applyFill="1" applyBorder="1"/>
    <xf numFmtId="4" fontId="4" fillId="2" borderId="1" xfId="0" applyNumberFormat="1" applyFont="1" applyFill="1" applyBorder="1"/>
    <xf numFmtId="4" fontId="4" fillId="2" borderId="2" xfId="0" applyNumberFormat="1" applyFont="1" applyFill="1" applyBorder="1"/>
    <xf numFmtId="4" fontId="4" fillId="3" borderId="1" xfId="0" applyNumberFormat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/>
    <xf numFmtId="164" fontId="4" fillId="2" borderId="2" xfId="0" applyNumberFormat="1" applyFont="1" applyFill="1" applyBorder="1"/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Fill="1" applyBorder="1"/>
    <xf numFmtId="3" fontId="4" fillId="3" borderId="2" xfId="0" applyNumberFormat="1" applyFont="1" applyFill="1" applyBorder="1"/>
    <xf numFmtId="0" fontId="4" fillId="2" borderId="2" xfId="0" applyFont="1" applyFill="1" applyBorder="1"/>
    <xf numFmtId="0" fontId="4" fillId="0" borderId="2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2" fontId="1" fillId="2" borderId="2" xfId="0" applyNumberFormat="1" applyFont="1" applyFill="1" applyBorder="1"/>
    <xf numFmtId="0" fontId="1" fillId="2" borderId="1" xfId="0" applyFont="1" applyFill="1" applyBorder="1"/>
    <xf numFmtId="0" fontId="1" fillId="0" borderId="0" xfId="0" applyFont="1" applyAlignment="1">
      <alignment horizontal="center"/>
    </xf>
    <xf numFmtId="2" fontId="4" fillId="2" borderId="2" xfId="0" applyNumberFormat="1" applyFont="1" applyFill="1" applyBorder="1"/>
    <xf numFmtId="4" fontId="4" fillId="3" borderId="2" xfId="0" applyNumberFormat="1" applyFont="1" applyFill="1" applyBorder="1"/>
    <xf numFmtId="0" fontId="3" fillId="0" borderId="0" xfId="0" applyFont="1" applyBorder="1"/>
    <xf numFmtId="0" fontId="3" fillId="4" borderId="1" xfId="0" applyFont="1" applyFill="1" applyBorder="1"/>
    <xf numFmtId="2" fontId="4" fillId="0" borderId="0" xfId="0" applyNumberFormat="1" applyFont="1"/>
    <xf numFmtId="4" fontId="3" fillId="4" borderId="1" xfId="0" applyNumberFormat="1" applyFont="1" applyFill="1" applyBorder="1"/>
    <xf numFmtId="2" fontId="3" fillId="4" borderId="1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3" fillId="2" borderId="0" xfId="0" applyNumberFormat="1" applyFont="1" applyFill="1"/>
    <xf numFmtId="3" fontId="3" fillId="3" borderId="0" xfId="0" applyNumberFormat="1" applyFont="1" applyFill="1"/>
    <xf numFmtId="3" fontId="3" fillId="4" borderId="0" xfId="0" applyNumberFormat="1" applyFont="1" applyFill="1"/>
    <xf numFmtId="4" fontId="3" fillId="2" borderId="0" xfId="0" applyNumberFormat="1" applyFont="1" applyFill="1"/>
    <xf numFmtId="4" fontId="3" fillId="3" borderId="0" xfId="0" applyNumberFormat="1" applyFont="1" applyFill="1"/>
    <xf numFmtId="4" fontId="3" fillId="4" borderId="0" xfId="0" applyNumberFormat="1" applyFont="1" applyFill="1"/>
    <xf numFmtId="0" fontId="3" fillId="4" borderId="3" xfId="0" applyFont="1" applyFill="1" applyBorder="1"/>
    <xf numFmtId="4" fontId="3" fillId="4" borderId="4" xfId="0" applyNumberFormat="1" applyFont="1" applyFill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4" fontId="4" fillId="0" borderId="0" xfId="0" applyNumberFormat="1" applyFont="1" applyBorder="1"/>
    <xf numFmtId="0" fontId="4" fillId="0" borderId="7" xfId="0" applyFont="1" applyBorder="1" applyAlignment="1">
      <alignment horizontal="center"/>
    </xf>
    <xf numFmtId="0" fontId="3" fillId="4" borderId="8" xfId="0" applyFont="1" applyFill="1" applyBorder="1"/>
    <xf numFmtId="4" fontId="3" fillId="4" borderId="9" xfId="0" applyNumberFormat="1" applyFont="1" applyFill="1" applyBorder="1"/>
    <xf numFmtId="0" fontId="4" fillId="0" borderId="10" xfId="0" applyFont="1" applyBorder="1"/>
    <xf numFmtId="0" fontId="4" fillId="0" borderId="11" xfId="0" applyFont="1" applyBorder="1" applyAlignment="1">
      <alignment horizontal="center"/>
    </xf>
    <xf numFmtId="4" fontId="3" fillId="4" borderId="12" xfId="0" applyNumberFormat="1" applyFont="1" applyFill="1" applyBorder="1" applyAlignment="1">
      <alignment horizontal="center"/>
    </xf>
    <xf numFmtId="0" fontId="3" fillId="4" borderId="13" xfId="0" applyFont="1" applyFill="1" applyBorder="1"/>
    <xf numFmtId="0" fontId="3" fillId="4" borderId="8" xfId="0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3" fillId="4" borderId="0" xfId="0" applyFont="1" applyFill="1"/>
    <xf numFmtId="0" fontId="3" fillId="0" borderId="14" xfId="0" applyFont="1" applyBorder="1"/>
    <xf numFmtId="3" fontId="4" fillId="0" borderId="15" xfId="0" applyNumberFormat="1" applyFont="1" applyBorder="1"/>
    <xf numFmtId="0" fontId="4" fillId="0" borderId="16" xfId="0" applyFont="1" applyBorder="1" applyAlignment="1">
      <alignment horizontal="center"/>
    </xf>
    <xf numFmtId="0" fontId="4" fillId="0" borderId="17" xfId="0" applyFont="1" applyBorder="1"/>
    <xf numFmtId="4" fontId="3" fillId="4" borderId="6" xfId="0" applyNumberFormat="1" applyFont="1" applyFill="1" applyBorder="1"/>
    <xf numFmtId="4" fontId="3" fillId="4" borderId="0" xfId="0" applyNumberFormat="1" applyFont="1" applyFill="1" applyBorder="1"/>
    <xf numFmtId="0" fontId="3" fillId="0" borderId="6" xfId="0" applyFont="1" applyBorder="1"/>
    <xf numFmtId="0" fontId="4" fillId="0" borderId="18" xfId="0" applyFont="1" applyBorder="1" applyAlignment="1">
      <alignment horizontal="center"/>
    </xf>
    <xf numFmtId="4" fontId="3" fillId="3" borderId="0" xfId="0" applyNumberFormat="1" applyFont="1" applyFill="1" applyBorder="1"/>
    <xf numFmtId="4" fontId="3" fillId="4" borderId="8" xfId="0" applyNumberFormat="1" applyFont="1" applyFill="1" applyBorder="1"/>
    <xf numFmtId="4" fontId="4" fillId="0" borderId="15" xfId="0" applyNumberFormat="1" applyFont="1" applyBorder="1"/>
    <xf numFmtId="0" fontId="3" fillId="4" borderId="17" xfId="0" applyFont="1" applyFill="1" applyBorder="1"/>
    <xf numFmtId="4" fontId="3" fillId="4" borderId="2" xfId="0" applyNumberFormat="1" applyFont="1" applyFill="1" applyBorder="1"/>
    <xf numFmtId="0" fontId="3" fillId="0" borderId="1" xfId="0" applyFont="1" applyBorder="1"/>
    <xf numFmtId="4" fontId="3" fillId="2" borderId="1" xfId="0" applyNumberFormat="1" applyFont="1" applyFill="1" applyBorder="1"/>
    <xf numFmtId="4" fontId="3" fillId="2" borderId="2" xfId="0" applyNumberFormat="1" applyFont="1" applyFill="1" applyBorder="1"/>
    <xf numFmtId="4" fontId="3" fillId="3" borderId="2" xfId="0" applyNumberFormat="1" applyFont="1" applyFill="1" applyBorder="1"/>
    <xf numFmtId="4" fontId="3" fillId="3" borderId="1" xfId="0" applyNumberFormat="1" applyFont="1" applyFill="1" applyBorder="1"/>
    <xf numFmtId="0" fontId="6" fillId="0" borderId="0" xfId="0" applyFont="1"/>
    <xf numFmtId="3" fontId="3" fillId="4" borderId="17" xfId="0" applyNumberFormat="1" applyFont="1" applyFill="1" applyBorder="1"/>
    <xf numFmtId="0" fontId="3" fillId="0" borderId="10" xfId="0" applyFont="1" applyBorder="1"/>
    <xf numFmtId="3" fontId="3" fillId="4" borderId="8" xfId="0" applyNumberFormat="1" applyFont="1" applyFill="1" applyBorder="1"/>
    <xf numFmtId="0" fontId="4" fillId="0" borderId="12" xfId="0" applyFont="1" applyBorder="1" applyAlignment="1">
      <alignment horizontal="center"/>
    </xf>
    <xf numFmtId="0" fontId="4" fillId="0" borderId="15" xfId="0" applyFont="1" applyBorder="1"/>
    <xf numFmtId="0" fontId="4" fillId="0" borderId="10" xfId="0" applyFont="1" applyFill="1" applyBorder="1"/>
    <xf numFmtId="0" fontId="3" fillId="4" borderId="12" xfId="0" applyFont="1" applyFill="1" applyBorder="1" applyAlignment="1">
      <alignment horizontal="center"/>
    </xf>
    <xf numFmtId="20" fontId="3" fillId="0" borderId="14" xfId="0" applyNumberFormat="1" applyFont="1" applyBorder="1"/>
    <xf numFmtId="0" fontId="4" fillId="2" borderId="0" xfId="0" applyFont="1" applyFill="1" applyBorder="1"/>
    <xf numFmtId="1" fontId="3" fillId="0" borderId="0" xfId="0" applyNumberFormat="1" applyFont="1" applyAlignment="1">
      <alignment horizontal="center"/>
    </xf>
    <xf numFmtId="1" fontId="3" fillId="0" borderId="19" xfId="0" applyNumberFormat="1" applyFont="1" applyBorder="1" applyAlignment="1">
      <alignment horizontal="center"/>
    </xf>
    <xf numFmtId="1" fontId="3" fillId="0" borderId="20" xfId="0" applyNumberFormat="1" applyFont="1" applyBorder="1" applyAlignment="1">
      <alignment horizontal="center"/>
    </xf>
    <xf numFmtId="1" fontId="3" fillId="0" borderId="21" xfId="0" applyNumberFormat="1" applyFont="1" applyBorder="1" applyAlignment="1">
      <alignment horizontal="center"/>
    </xf>
    <xf numFmtId="1" fontId="3" fillId="4" borderId="19" xfId="0" applyNumberFormat="1" applyFont="1" applyFill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1" fontId="3" fillId="4" borderId="22" xfId="0" applyNumberFormat="1" applyFont="1" applyFill="1" applyBorder="1" applyAlignment="1">
      <alignment horizontal="center"/>
    </xf>
    <xf numFmtId="1" fontId="3" fillId="4" borderId="24" xfId="0" applyNumberFormat="1" applyFont="1" applyFill="1" applyBorder="1" applyAlignment="1">
      <alignment horizontal="center"/>
    </xf>
    <xf numFmtId="1" fontId="3" fillId="0" borderId="24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3" fillId="4" borderId="21" xfId="0" applyFont="1" applyFill="1" applyBorder="1" applyAlignment="1">
      <alignment horizontal="center"/>
    </xf>
    <xf numFmtId="4" fontId="3" fillId="2" borderId="0" xfId="0" applyNumberFormat="1" applyFont="1" applyFill="1" applyBorder="1"/>
    <xf numFmtId="3" fontId="3" fillId="4" borderId="19" xfId="0" applyNumberFormat="1" applyFont="1" applyFill="1" applyBorder="1" applyAlignment="1">
      <alignment horizontal="center"/>
    </xf>
    <xf numFmtId="4" fontId="4" fillId="3" borderId="0" xfId="0" applyNumberFormat="1" applyFont="1" applyFill="1" applyBorder="1"/>
    <xf numFmtId="3" fontId="4" fillId="0" borderId="1" xfId="0" applyNumberFormat="1" applyFont="1" applyFill="1" applyBorder="1"/>
    <xf numFmtId="4" fontId="1" fillId="3" borderId="1" xfId="0" applyNumberFormat="1" applyFont="1" applyFill="1" applyBorder="1"/>
    <xf numFmtId="4" fontId="1" fillId="0" borderId="0" xfId="0" applyNumberFormat="1" applyFont="1"/>
    <xf numFmtId="2" fontId="1" fillId="5" borderId="2" xfId="0" applyNumberFormat="1" applyFont="1" applyFill="1" applyBorder="1"/>
    <xf numFmtId="2" fontId="4" fillId="5" borderId="2" xfId="0" applyNumberFormat="1" applyFont="1" applyFill="1" applyBorder="1"/>
    <xf numFmtId="3" fontId="4" fillId="5" borderId="1" xfId="0" applyNumberFormat="1" applyFont="1" applyFill="1" applyBorder="1"/>
    <xf numFmtId="3" fontId="4" fillId="6" borderId="1" xfId="0" applyNumberFormat="1" applyFont="1" applyFill="1" applyBorder="1"/>
    <xf numFmtId="3" fontId="4" fillId="0" borderId="0" xfId="0" applyNumberFormat="1" applyFont="1" applyFill="1" applyBorder="1"/>
    <xf numFmtId="3" fontId="4" fillId="7" borderId="1" xfId="0" applyNumberFormat="1" applyFont="1" applyFill="1" applyBorder="1"/>
    <xf numFmtId="0" fontId="3" fillId="0" borderId="0" xfId="0" applyFont="1" applyBorder="1" applyAlignment="1">
      <alignment horizontal="center"/>
    </xf>
    <xf numFmtId="1" fontId="4" fillId="8" borderId="24" xfId="0" applyNumberFormat="1" applyFont="1" applyFill="1" applyBorder="1" applyAlignment="1">
      <alignment horizontal="center"/>
    </xf>
    <xf numFmtId="1" fontId="3" fillId="8" borderId="24" xfId="0" applyNumberFormat="1" applyFont="1" applyFill="1" applyBorder="1" applyAlignment="1">
      <alignment horizontal="center"/>
    </xf>
    <xf numFmtId="0" fontId="4" fillId="8" borderId="25" xfId="0" applyFont="1" applyFill="1" applyBorder="1"/>
    <xf numFmtId="1" fontId="3" fillId="0" borderId="26" xfId="0" applyNumberFormat="1" applyFont="1" applyBorder="1" applyAlignment="1">
      <alignment horizontal="center"/>
    </xf>
    <xf numFmtId="1" fontId="3" fillId="0" borderId="27" xfId="0" applyNumberFormat="1" applyFont="1" applyBorder="1" applyAlignment="1">
      <alignment horizontal="center"/>
    </xf>
    <xf numFmtId="0" fontId="4" fillId="7" borderId="0" xfId="0" applyFont="1" applyFill="1" applyBorder="1"/>
    <xf numFmtId="0" fontId="3" fillId="8" borderId="13" xfId="0" applyFont="1" applyFill="1" applyBorder="1"/>
    <xf numFmtId="0" fontId="3" fillId="0" borderId="28" xfId="0" applyFont="1" applyFill="1" applyBorder="1" applyAlignment="1">
      <alignment horizontal="center"/>
    </xf>
    <xf numFmtId="4" fontId="3" fillId="0" borderId="12" xfId="0" applyNumberFormat="1" applyFont="1" applyFill="1" applyBorder="1"/>
    <xf numFmtId="0" fontId="4" fillId="0" borderId="16" xfId="0" applyFont="1" applyBorder="1"/>
    <xf numFmtId="0" fontId="3" fillId="0" borderId="28" xfId="0" applyFont="1" applyFill="1" applyBorder="1"/>
    <xf numFmtId="4" fontId="3" fillId="8" borderId="25" xfId="0" applyNumberFormat="1" applyFont="1" applyFill="1" applyBorder="1"/>
    <xf numFmtId="0" fontId="3" fillId="0" borderId="29" xfId="0" applyFont="1" applyBorder="1"/>
    <xf numFmtId="0" fontId="4" fillId="0" borderId="30" xfId="0" applyFont="1" applyBorder="1"/>
    <xf numFmtId="3" fontId="4" fillId="0" borderId="31" xfId="0" applyNumberFormat="1" applyFont="1" applyBorder="1"/>
    <xf numFmtId="3" fontId="4" fillId="7" borderId="32" xfId="0" applyNumberFormat="1" applyFont="1" applyFill="1" applyBorder="1"/>
    <xf numFmtId="165" fontId="4" fillId="7" borderId="0" xfId="0" applyNumberFormat="1" applyFont="1" applyFill="1" applyBorder="1"/>
    <xf numFmtId="1" fontId="3" fillId="0" borderId="22" xfId="0" applyNumberFormat="1" applyFont="1" applyBorder="1" applyAlignment="1">
      <alignment horizontal="center" textRotation="75"/>
    </xf>
    <xf numFmtId="1" fontId="2" fillId="0" borderId="20" xfId="0" applyNumberFormat="1" applyFont="1" applyBorder="1" applyAlignment="1">
      <alignment horizontal="center" textRotation="75"/>
    </xf>
    <xf numFmtId="1" fontId="2" fillId="0" borderId="21" xfId="0" applyNumberFormat="1" applyFont="1" applyBorder="1" applyAlignment="1">
      <alignment horizontal="center" textRotation="7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3"/>
  <sheetViews>
    <sheetView tabSelected="1" zoomScaleNormal="100" workbookViewId="0">
      <pane ySplit="6" topLeftCell="A7" activePane="bottomLeft" state="frozen"/>
      <selection pane="bottomLeft" activeCell="F30" sqref="F30"/>
    </sheetView>
  </sheetViews>
  <sheetFormatPr defaultRowHeight="11.25"/>
  <cols>
    <col min="1" max="1" width="83.7109375" style="3" customWidth="1"/>
    <col min="2" max="2" width="5.42578125" style="89" customWidth="1"/>
    <col min="3" max="3" width="14.5703125" style="4" customWidth="1"/>
    <col min="4" max="4" width="4.85546875" style="15" customWidth="1"/>
    <col min="5" max="5" width="9.140625" style="3"/>
    <col min="6" max="6" width="11.85546875" style="3" bestFit="1" customWidth="1"/>
    <col min="7" max="16384" width="9.140625" style="3"/>
  </cols>
  <sheetData>
    <row r="1" spans="1:7">
      <c r="C1" s="4" t="s">
        <v>215</v>
      </c>
    </row>
    <row r="3" spans="1:7">
      <c r="A3" s="2" t="s">
        <v>211</v>
      </c>
      <c r="B3" s="134" t="s">
        <v>83</v>
      </c>
      <c r="C3" s="43" t="s">
        <v>10</v>
      </c>
      <c r="D3" s="3"/>
    </row>
    <row r="4" spans="1:7">
      <c r="A4" s="2" t="s">
        <v>147</v>
      </c>
      <c r="B4" s="135"/>
      <c r="C4" s="44" t="s">
        <v>11</v>
      </c>
    </row>
    <row r="5" spans="1:7">
      <c r="A5" s="2"/>
      <c r="B5" s="135"/>
      <c r="C5" s="45" t="s">
        <v>12</v>
      </c>
    </row>
    <row r="6" spans="1:7">
      <c r="A6" s="2"/>
      <c r="B6" s="136"/>
      <c r="C6" s="3"/>
    </row>
    <row r="7" spans="1:7">
      <c r="A7" s="74" t="s">
        <v>163</v>
      </c>
      <c r="B7" s="90">
        <v>101</v>
      </c>
      <c r="C7" s="6">
        <v>20000</v>
      </c>
      <c r="D7" s="18" t="s">
        <v>9</v>
      </c>
    </row>
    <row r="8" spans="1:7">
      <c r="A8" s="5" t="s">
        <v>106</v>
      </c>
      <c r="B8" s="90">
        <v>102</v>
      </c>
      <c r="C8" s="6">
        <v>12000</v>
      </c>
      <c r="D8" s="15" t="s">
        <v>9</v>
      </c>
      <c r="F8" s="7"/>
      <c r="G8" s="7"/>
    </row>
    <row r="9" spans="1:7">
      <c r="A9" s="5"/>
      <c r="B9" s="90"/>
      <c r="C9" s="3"/>
      <c r="F9" s="7"/>
      <c r="G9" s="7"/>
    </row>
    <row r="10" spans="1:7">
      <c r="A10" s="74" t="s">
        <v>67</v>
      </c>
      <c r="B10" s="90">
        <v>103</v>
      </c>
      <c r="C10" s="6">
        <v>1350000</v>
      </c>
      <c r="D10" s="18" t="s">
        <v>5</v>
      </c>
      <c r="F10" s="59"/>
    </row>
    <row r="11" spans="1:7">
      <c r="A11" s="5" t="s">
        <v>194</v>
      </c>
      <c r="B11" s="90">
        <v>104</v>
      </c>
      <c r="C11" s="113">
        <f>C10/3</f>
        <v>450000</v>
      </c>
      <c r="D11" s="18" t="s">
        <v>5</v>
      </c>
      <c r="F11" s="59"/>
    </row>
    <row r="12" spans="1:7">
      <c r="A12" s="5"/>
      <c r="B12" s="90"/>
      <c r="C12" s="3"/>
      <c r="D12" s="18"/>
      <c r="F12" s="59"/>
    </row>
    <row r="13" spans="1:7">
      <c r="A13" s="74" t="s">
        <v>149</v>
      </c>
      <c r="B13" s="90">
        <v>105</v>
      </c>
      <c r="C13" s="6">
        <v>300000</v>
      </c>
      <c r="D13" s="18" t="s">
        <v>5</v>
      </c>
    </row>
    <row r="14" spans="1:7">
      <c r="A14" s="5" t="s">
        <v>195</v>
      </c>
      <c r="B14" s="90">
        <v>106</v>
      </c>
      <c r="C14" s="113">
        <f>C13/3</f>
        <v>100000</v>
      </c>
      <c r="D14" s="18" t="s">
        <v>5</v>
      </c>
    </row>
    <row r="15" spans="1:7">
      <c r="A15" s="19"/>
      <c r="B15" s="94"/>
      <c r="C15" s="3"/>
      <c r="D15" s="20"/>
    </row>
    <row r="16" spans="1:7">
      <c r="A16" s="129" t="s">
        <v>2</v>
      </c>
      <c r="B16" s="92"/>
      <c r="C16" s="131"/>
    </row>
    <row r="17" spans="1:4">
      <c r="A17" s="130" t="s">
        <v>214</v>
      </c>
      <c r="B17" s="92">
        <v>107</v>
      </c>
      <c r="C17" s="132">
        <v>0</v>
      </c>
      <c r="D17" s="15" t="s">
        <v>6</v>
      </c>
    </row>
    <row r="18" spans="1:4">
      <c r="A18" s="5" t="s">
        <v>148</v>
      </c>
      <c r="B18" s="90">
        <v>108</v>
      </c>
      <c r="C18" s="6">
        <v>400</v>
      </c>
      <c r="D18" s="18" t="s">
        <v>5</v>
      </c>
    </row>
    <row r="19" spans="1:4">
      <c r="A19" s="5" t="s">
        <v>84</v>
      </c>
      <c r="B19" s="90">
        <v>109</v>
      </c>
      <c r="C19" s="9">
        <f>C18*C7</f>
        <v>8000000</v>
      </c>
      <c r="D19" s="18" t="s">
        <v>5</v>
      </c>
    </row>
    <row r="20" spans="1:4">
      <c r="A20" s="10" t="s">
        <v>92</v>
      </c>
      <c r="B20" s="90">
        <v>110</v>
      </c>
      <c r="C20" s="11">
        <v>6000000</v>
      </c>
      <c r="D20" s="24"/>
    </row>
    <row r="21" spans="1:4">
      <c r="A21" s="10" t="s">
        <v>107</v>
      </c>
      <c r="B21" s="90">
        <v>111</v>
      </c>
      <c r="C21" s="11">
        <v>4000000</v>
      </c>
      <c r="D21" s="24" t="s">
        <v>5</v>
      </c>
    </row>
    <row r="22" spans="1:4">
      <c r="A22" s="5" t="s">
        <v>3</v>
      </c>
      <c r="B22" s="90">
        <v>112</v>
      </c>
      <c r="C22" s="9">
        <f>SUM(C19:C21)</f>
        <v>18000000</v>
      </c>
      <c r="D22" s="18" t="s">
        <v>5</v>
      </c>
    </row>
    <row r="23" spans="1:4">
      <c r="A23" s="10" t="s">
        <v>213</v>
      </c>
      <c r="B23" s="90">
        <v>113</v>
      </c>
      <c r="C23" s="22">
        <f>+(C20+C21)*C17/C28</f>
        <v>0</v>
      </c>
      <c r="D23" s="18" t="s">
        <v>5</v>
      </c>
    </row>
    <row r="24" spans="1:4">
      <c r="A24" s="5" t="s">
        <v>204</v>
      </c>
      <c r="B24" s="92">
        <v>114</v>
      </c>
      <c r="C24" s="115">
        <f>+C22-C23</f>
        <v>18000000</v>
      </c>
      <c r="D24" s="18" t="s">
        <v>5</v>
      </c>
    </row>
    <row r="25" spans="1:4">
      <c r="A25" s="19"/>
      <c r="B25" s="91"/>
      <c r="C25" s="114"/>
      <c r="D25" s="20"/>
    </row>
    <row r="26" spans="1:4">
      <c r="A26" s="19"/>
      <c r="B26" s="94"/>
      <c r="C26" s="3"/>
      <c r="D26" s="20"/>
    </row>
    <row r="27" spans="1:4">
      <c r="A27" s="2" t="s">
        <v>94</v>
      </c>
      <c r="B27" s="92"/>
    </row>
    <row r="28" spans="1:4">
      <c r="A28" s="5" t="s">
        <v>93</v>
      </c>
      <c r="B28" s="90">
        <v>115</v>
      </c>
      <c r="C28" s="6">
        <v>50</v>
      </c>
      <c r="D28" s="18" t="s">
        <v>6</v>
      </c>
    </row>
    <row r="29" spans="1:4">
      <c r="A29" s="10" t="s">
        <v>95</v>
      </c>
      <c r="B29" s="90">
        <v>116</v>
      </c>
      <c r="C29" s="11">
        <v>10</v>
      </c>
      <c r="D29" s="24" t="s">
        <v>6</v>
      </c>
    </row>
    <row r="30" spans="1:4">
      <c r="A30" s="10" t="s">
        <v>96</v>
      </c>
      <c r="B30" s="90">
        <v>117</v>
      </c>
      <c r="C30" s="11">
        <v>25</v>
      </c>
      <c r="D30" s="24" t="s">
        <v>6</v>
      </c>
    </row>
    <row r="31" spans="1:4">
      <c r="A31" s="19"/>
      <c r="B31" s="94"/>
      <c r="C31" s="114"/>
      <c r="D31" s="20"/>
    </row>
    <row r="32" spans="1:4">
      <c r="A32" s="33" t="s">
        <v>201</v>
      </c>
      <c r="B32" s="94"/>
      <c r="C32" s="114"/>
      <c r="D32" s="20"/>
    </row>
    <row r="33" spans="1:4">
      <c r="A33" s="10" t="s">
        <v>201</v>
      </c>
      <c r="B33" s="90">
        <v>118</v>
      </c>
      <c r="C33" s="11">
        <v>4</v>
      </c>
      <c r="D33" s="24" t="s">
        <v>202</v>
      </c>
    </row>
    <row r="34" spans="1:4">
      <c r="A34" s="19"/>
      <c r="B34" s="91"/>
      <c r="C34" s="3"/>
      <c r="D34" s="20"/>
    </row>
    <row r="35" spans="1:4">
      <c r="A35" s="2" t="s">
        <v>45</v>
      </c>
      <c r="B35" s="92"/>
    </row>
    <row r="36" spans="1:4">
      <c r="A36" s="5" t="s">
        <v>7</v>
      </c>
      <c r="B36" s="90">
        <v>119</v>
      </c>
      <c r="C36" s="12">
        <v>1</v>
      </c>
      <c r="D36" s="18" t="s">
        <v>9</v>
      </c>
    </row>
    <row r="37" spans="1:4">
      <c r="A37" s="10" t="s">
        <v>8</v>
      </c>
      <c r="B37" s="90">
        <v>120</v>
      </c>
      <c r="C37" s="13">
        <v>3.25</v>
      </c>
      <c r="D37" s="24" t="s">
        <v>9</v>
      </c>
    </row>
    <row r="38" spans="1:4">
      <c r="A38" s="19"/>
      <c r="B38" s="94"/>
      <c r="C38" s="3"/>
      <c r="D38" s="20"/>
    </row>
    <row r="39" spans="1:4">
      <c r="A39" s="2" t="s">
        <v>4</v>
      </c>
      <c r="B39" s="92"/>
    </row>
    <row r="40" spans="1:4">
      <c r="A40" s="5" t="s">
        <v>212</v>
      </c>
      <c r="B40" s="90">
        <v>121</v>
      </c>
      <c r="C40" s="14">
        <f>(C22-C19)/C8/C28</f>
        <v>16.666666666666668</v>
      </c>
      <c r="D40" s="18" t="s">
        <v>5</v>
      </c>
    </row>
    <row r="41" spans="1:4">
      <c r="A41" s="5" t="s">
        <v>203</v>
      </c>
      <c r="B41" s="90">
        <v>122</v>
      </c>
      <c r="C41" s="14">
        <f>+C24*(C33/100)/C8</f>
        <v>60</v>
      </c>
      <c r="D41" s="18" t="s">
        <v>5</v>
      </c>
    </row>
    <row r="42" spans="1:4">
      <c r="A42" s="10" t="s">
        <v>65</v>
      </c>
      <c r="B42" s="90">
        <v>123</v>
      </c>
      <c r="C42" s="32">
        <f>C11/C8</f>
        <v>37.5</v>
      </c>
      <c r="D42" s="24" t="s">
        <v>5</v>
      </c>
    </row>
    <row r="43" spans="1:4">
      <c r="A43" s="10" t="s">
        <v>66</v>
      </c>
      <c r="B43" s="90">
        <v>124</v>
      </c>
      <c r="C43" s="32">
        <f>C14/C8</f>
        <v>8.3333333333333339</v>
      </c>
      <c r="D43" s="24" t="s">
        <v>5</v>
      </c>
    </row>
    <row r="44" spans="1:4">
      <c r="A44" s="60" t="s">
        <v>72</v>
      </c>
      <c r="B44" s="96">
        <v>125</v>
      </c>
      <c r="C44" s="45">
        <f>SUM(C40:C43)</f>
        <v>122.5</v>
      </c>
      <c r="D44" s="18" t="s">
        <v>5</v>
      </c>
    </row>
    <row r="45" spans="1:4">
      <c r="B45" s="91"/>
      <c r="C45" s="3"/>
      <c r="D45" s="20"/>
    </row>
    <row r="46" spans="1:4">
      <c r="B46" s="91"/>
      <c r="C46" s="3"/>
      <c r="D46" s="20"/>
    </row>
    <row r="47" spans="1:4">
      <c r="B47" s="91"/>
      <c r="C47" s="3"/>
      <c r="D47" s="20"/>
    </row>
    <row r="48" spans="1:4" ht="12" thickBot="1">
      <c r="B48" s="95"/>
      <c r="C48" s="3"/>
      <c r="D48" s="20"/>
    </row>
    <row r="49" spans="1:5">
      <c r="A49" s="61" t="s">
        <v>97</v>
      </c>
      <c r="B49" s="121"/>
      <c r="C49" s="62"/>
      <c r="D49" s="63"/>
    </row>
    <row r="50" spans="1:5">
      <c r="A50" s="64" t="s">
        <v>98</v>
      </c>
      <c r="B50" s="90">
        <v>126</v>
      </c>
      <c r="C50" s="14">
        <f>C44*C36</f>
        <v>122.5</v>
      </c>
      <c r="D50" s="51" t="s">
        <v>5</v>
      </c>
    </row>
    <row r="51" spans="1:5">
      <c r="A51" s="65" t="s">
        <v>154</v>
      </c>
      <c r="B51" s="93">
        <v>127</v>
      </c>
      <c r="C51" s="66">
        <f>C50*C29</f>
        <v>1225</v>
      </c>
      <c r="D51" s="55" t="s">
        <v>5</v>
      </c>
    </row>
    <row r="52" spans="1:5">
      <c r="A52" s="49"/>
      <c r="B52" s="94"/>
      <c r="C52" s="19"/>
      <c r="D52" s="68"/>
    </row>
    <row r="53" spans="1:5">
      <c r="A53" s="67" t="s">
        <v>150</v>
      </c>
      <c r="B53" s="92"/>
      <c r="C53" s="50"/>
      <c r="D53" s="68"/>
    </row>
    <row r="54" spans="1:5">
      <c r="A54" s="64" t="s">
        <v>99</v>
      </c>
      <c r="B54" s="90">
        <v>128</v>
      </c>
      <c r="C54" s="78">
        <f>'Hæk(200)'!$C$50*$C$29</f>
        <v>820.23643742785862</v>
      </c>
      <c r="D54" s="51" t="s">
        <v>5</v>
      </c>
      <c r="E54" s="3" t="s">
        <v>91</v>
      </c>
    </row>
    <row r="55" spans="1:5">
      <c r="A55" s="49" t="s">
        <v>100</v>
      </c>
      <c r="B55" s="90">
        <v>129</v>
      </c>
      <c r="C55" s="104"/>
      <c r="D55" s="68" t="s">
        <v>5</v>
      </c>
    </row>
    <row r="56" spans="1:5" ht="12" thickBot="1">
      <c r="A56" s="70" t="s">
        <v>101</v>
      </c>
      <c r="B56" s="97">
        <v>130</v>
      </c>
      <c r="C56" s="53">
        <f>SUM(C51:C55)</f>
        <v>2045.2364374278586</v>
      </c>
      <c r="D56" s="125" t="s">
        <v>5</v>
      </c>
    </row>
    <row r="57" spans="1:5">
      <c r="A57" s="49" t="s">
        <v>210</v>
      </c>
      <c r="B57" s="91">
        <v>131</v>
      </c>
      <c r="C57" s="133">
        <v>0</v>
      </c>
      <c r="D57" s="126" t="s">
        <v>5</v>
      </c>
    </row>
    <row r="58" spans="1:5" ht="12" thickBot="1">
      <c r="A58" s="123" t="s">
        <v>205</v>
      </c>
      <c r="B58" s="117">
        <v>132</v>
      </c>
      <c r="C58" s="128">
        <f>+C56+C57</f>
        <v>2045.2364374278586</v>
      </c>
      <c r="D58" s="127" t="s">
        <v>5</v>
      </c>
    </row>
    <row r="59" spans="1:5">
      <c r="B59" s="91"/>
      <c r="C59" s="3"/>
      <c r="D59" s="3"/>
    </row>
    <row r="60" spans="1:5">
      <c r="B60" s="91"/>
      <c r="C60" s="3"/>
      <c r="D60" s="3"/>
    </row>
    <row r="61" spans="1:5" ht="12" thickBot="1">
      <c r="B61" s="95"/>
      <c r="C61" s="3"/>
      <c r="D61" s="3"/>
    </row>
    <row r="62" spans="1:5">
      <c r="A62" s="61" t="s">
        <v>102</v>
      </c>
      <c r="B62" s="121"/>
      <c r="C62" s="71"/>
      <c r="D62" s="63"/>
    </row>
    <row r="63" spans="1:5">
      <c r="A63" s="49" t="s">
        <v>98</v>
      </c>
      <c r="B63" s="90">
        <v>133</v>
      </c>
      <c r="C63" s="14">
        <f>(C44*C37)</f>
        <v>398.125</v>
      </c>
      <c r="D63" s="51" t="s">
        <v>5</v>
      </c>
    </row>
    <row r="64" spans="1:5">
      <c r="A64" s="72" t="s">
        <v>154</v>
      </c>
      <c r="B64" s="93">
        <v>134</v>
      </c>
      <c r="C64" s="73">
        <f>C63*C30</f>
        <v>9953.125</v>
      </c>
      <c r="D64" s="55" t="s">
        <v>5</v>
      </c>
    </row>
    <row r="65" spans="1:5">
      <c r="A65" s="49"/>
      <c r="B65" s="94"/>
      <c r="C65" s="19"/>
      <c r="D65" s="68"/>
    </row>
    <row r="66" spans="1:5">
      <c r="A66" s="67" t="s">
        <v>150</v>
      </c>
      <c r="B66" s="92"/>
      <c r="C66" s="50"/>
      <c r="D66" s="68"/>
    </row>
    <row r="67" spans="1:5">
      <c r="A67" s="64" t="s">
        <v>104</v>
      </c>
      <c r="B67" s="92">
        <v>135</v>
      </c>
      <c r="C67" s="69">
        <f>'Hæk(200)'!$C$20*C30</f>
        <v>2866.3800871281233</v>
      </c>
      <c r="D67" s="68" t="s">
        <v>5</v>
      </c>
      <c r="E67" s="3" t="s">
        <v>91</v>
      </c>
    </row>
    <row r="68" spans="1:5">
      <c r="A68" s="49" t="s">
        <v>100</v>
      </c>
      <c r="B68" s="90">
        <v>136</v>
      </c>
      <c r="C68" s="104"/>
      <c r="D68" s="68" t="s">
        <v>5</v>
      </c>
    </row>
    <row r="69" spans="1:5" ht="12" thickBot="1">
      <c r="A69" s="70" t="s">
        <v>152</v>
      </c>
      <c r="B69" s="97">
        <v>137</v>
      </c>
      <c r="C69" s="53">
        <f>SUM(C64:C68)</f>
        <v>12819.505087128124</v>
      </c>
      <c r="D69" s="125" t="s">
        <v>5</v>
      </c>
    </row>
    <row r="70" spans="1:5">
      <c r="A70" s="49" t="s">
        <v>210</v>
      </c>
      <c r="B70" s="91">
        <v>138</v>
      </c>
      <c r="C70" s="133">
        <v>0</v>
      </c>
      <c r="D70" s="126" t="s">
        <v>5</v>
      </c>
    </row>
    <row r="71" spans="1:5" ht="12" thickBot="1">
      <c r="A71" s="123" t="s">
        <v>206</v>
      </c>
      <c r="B71" s="117">
        <v>139</v>
      </c>
      <c r="C71" s="128">
        <f>+C69+C70</f>
        <v>12819.505087128124</v>
      </c>
      <c r="D71" s="127" t="s">
        <v>5</v>
      </c>
    </row>
    <row r="72" spans="1:5">
      <c r="B72" s="91"/>
      <c r="C72" s="3"/>
      <c r="D72" s="3"/>
    </row>
    <row r="73" spans="1:5" ht="12" thickBot="1">
      <c r="B73" s="95"/>
      <c r="C73" s="3"/>
      <c r="D73" s="3"/>
    </row>
    <row r="74" spans="1:5">
      <c r="A74" s="61" t="s">
        <v>103</v>
      </c>
      <c r="B74" s="121"/>
      <c r="C74" s="71"/>
      <c r="D74" s="63"/>
    </row>
    <row r="75" spans="1:5">
      <c r="A75" s="49" t="s">
        <v>98</v>
      </c>
      <c r="B75" s="90">
        <v>140</v>
      </c>
      <c r="C75" s="14">
        <f>C44*(C37*2)</f>
        <v>796.25</v>
      </c>
      <c r="D75" s="51" t="s">
        <v>5</v>
      </c>
    </row>
    <row r="76" spans="1:5">
      <c r="A76" s="72" t="s">
        <v>154</v>
      </c>
      <c r="B76" s="93">
        <v>141</v>
      </c>
      <c r="C76" s="73">
        <f>C75*C30</f>
        <v>19906.25</v>
      </c>
      <c r="D76" s="55" t="s">
        <v>5</v>
      </c>
    </row>
    <row r="77" spans="1:5">
      <c r="A77" s="49"/>
      <c r="B77" s="94"/>
      <c r="C77" s="19"/>
      <c r="D77" s="68"/>
    </row>
    <row r="78" spans="1:5">
      <c r="A78" s="67" t="s">
        <v>151</v>
      </c>
      <c r="B78" s="92"/>
      <c r="C78" s="50"/>
      <c r="D78" s="68"/>
    </row>
    <row r="79" spans="1:5">
      <c r="A79" s="64" t="s">
        <v>105</v>
      </c>
      <c r="B79" s="90">
        <v>142</v>
      </c>
      <c r="C79" s="69">
        <f>'Hæk(200)'!$C$35*C30</f>
        <v>4352.0701306921846</v>
      </c>
      <c r="D79" s="68" t="s">
        <v>5</v>
      </c>
      <c r="E79" s="3" t="s">
        <v>91</v>
      </c>
    </row>
    <row r="80" spans="1:5">
      <c r="A80" s="49" t="s">
        <v>100</v>
      </c>
      <c r="B80" s="90">
        <v>143</v>
      </c>
      <c r="C80" s="104"/>
      <c r="D80" s="68" t="s">
        <v>5</v>
      </c>
    </row>
    <row r="81" spans="1:4" ht="12" thickBot="1">
      <c r="A81" s="70" t="s">
        <v>153</v>
      </c>
      <c r="B81" s="97">
        <v>144</v>
      </c>
      <c r="C81" s="53">
        <f>SUM(C76:C80)</f>
        <v>24258.320130692184</v>
      </c>
      <c r="D81" s="125" t="s">
        <v>5</v>
      </c>
    </row>
    <row r="82" spans="1:4">
      <c r="A82" s="49" t="s">
        <v>210</v>
      </c>
      <c r="B82" s="91">
        <v>145</v>
      </c>
      <c r="C82" s="133">
        <v>0</v>
      </c>
      <c r="D82" s="126" t="s">
        <v>5</v>
      </c>
    </row>
    <row r="83" spans="1:4" ht="12" thickBot="1">
      <c r="A83" s="123" t="s">
        <v>207</v>
      </c>
      <c r="B83" s="117">
        <v>146</v>
      </c>
      <c r="C83" s="128">
        <f>+C81+C82</f>
        <v>24258.320130692184</v>
      </c>
      <c r="D83" s="127" t="s">
        <v>5</v>
      </c>
    </row>
  </sheetData>
  <mergeCells count="1">
    <mergeCell ref="B3:B6"/>
  </mergeCells>
  <phoneticPr fontId="1" type="noConversion"/>
  <dataValidations count="1">
    <dataValidation type="decimal" operator="lessThanOrEqual" allowBlank="1" showInputMessage="1" showErrorMessage="1" errorTitle="Tilskud skal med minus" error="Da det er et tilskud skal tallet tastes ind med minus." promptTitle="Tilskud skal med minus" prompt="Da det er et tilskud skal tallet tastes ind med minus." sqref="C57 C70 C82">
      <formula1>0</formula1>
    </dataValidation>
  </dataValidations>
  <pageMargins left="0.75" right="0.75" top="0.17" bottom="0.18" header="0" footer="0.17"/>
  <pageSetup paperSize="9" orientation="landscape" r:id="rId1"/>
  <headerFooter alignWithMargins="0"/>
  <rowBreaks count="1" manualBreakCount="1">
    <brk id="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D73"/>
  <sheetViews>
    <sheetView workbookViewId="0">
      <pane ySplit="4" topLeftCell="A5" activePane="bottomLeft" state="frozen"/>
      <selection pane="bottomLeft" activeCell="A2" sqref="A2"/>
    </sheetView>
  </sheetViews>
  <sheetFormatPr defaultRowHeight="11.25"/>
  <cols>
    <col min="1" max="1" width="59.5703125" style="3" customWidth="1"/>
    <col min="2" max="2" width="5.42578125" style="89" customWidth="1"/>
    <col min="3" max="3" width="15.28515625" style="7" customWidth="1"/>
    <col min="4" max="4" width="9.140625" style="15"/>
    <col min="5" max="16384" width="9.140625" style="3"/>
  </cols>
  <sheetData>
    <row r="1" spans="1:4">
      <c r="A1" s="2" t="s">
        <v>197</v>
      </c>
      <c r="B1" s="134" t="s">
        <v>83</v>
      </c>
      <c r="C1" s="43" t="s">
        <v>10</v>
      </c>
    </row>
    <row r="2" spans="1:4">
      <c r="B2" s="135"/>
      <c r="C2" s="44" t="s">
        <v>11</v>
      </c>
    </row>
    <row r="3" spans="1:4">
      <c r="B3" s="135"/>
      <c r="C3" s="45" t="s">
        <v>12</v>
      </c>
    </row>
    <row r="4" spans="1:4">
      <c r="B4" s="136"/>
    </row>
    <row r="5" spans="1:4">
      <c r="A5" s="74" t="s">
        <v>108</v>
      </c>
      <c r="B5" s="90">
        <v>201</v>
      </c>
      <c r="C5" s="75">
        <v>25</v>
      </c>
      <c r="D5" s="18" t="s">
        <v>6</v>
      </c>
    </row>
    <row r="6" spans="1:4" ht="12" thickBot="1">
      <c r="B6" s="98"/>
    </row>
    <row r="7" spans="1:4">
      <c r="A7" s="61" t="s">
        <v>139</v>
      </c>
      <c r="B7" s="92"/>
      <c r="C7" s="71"/>
      <c r="D7" s="63"/>
    </row>
    <row r="8" spans="1:4">
      <c r="A8" s="64" t="s">
        <v>155</v>
      </c>
      <c r="B8" s="90">
        <v>202</v>
      </c>
      <c r="C8" s="75">
        <v>2</v>
      </c>
      <c r="D8" s="51" t="s">
        <v>40</v>
      </c>
    </row>
    <row r="9" spans="1:4">
      <c r="A9" s="54" t="s">
        <v>61</v>
      </c>
      <c r="B9" s="90">
        <v>203</v>
      </c>
      <c r="C9" s="76">
        <v>60</v>
      </c>
      <c r="D9" s="55" t="s">
        <v>5</v>
      </c>
    </row>
    <row r="10" spans="1:4">
      <c r="A10" s="54" t="s">
        <v>156</v>
      </c>
      <c r="B10" s="90">
        <v>204</v>
      </c>
      <c r="C10" s="76">
        <v>18</v>
      </c>
      <c r="D10" s="55" t="s">
        <v>40</v>
      </c>
    </row>
    <row r="11" spans="1:4">
      <c r="A11" s="54" t="s">
        <v>157</v>
      </c>
      <c r="B11" s="90">
        <v>205</v>
      </c>
      <c r="C11" s="76">
        <v>6</v>
      </c>
      <c r="D11" s="55" t="s">
        <v>5</v>
      </c>
    </row>
    <row r="12" spans="1:4">
      <c r="A12" s="64" t="s">
        <v>32</v>
      </c>
      <c r="B12" s="90">
        <v>206</v>
      </c>
      <c r="C12" s="75">
        <v>1</v>
      </c>
      <c r="D12" s="51" t="s">
        <v>109</v>
      </c>
    </row>
    <row r="13" spans="1:4">
      <c r="A13" s="54" t="s">
        <v>51</v>
      </c>
      <c r="B13" s="90">
        <v>207</v>
      </c>
      <c r="C13" s="77">
        <f>'Timekostprisberegning(300)'!$C$43*C12+C8*C9+C10*C11</f>
        <v>512.84194064862049</v>
      </c>
      <c r="D13" s="55" t="s">
        <v>5</v>
      </c>
    </row>
    <row r="14" spans="1:4">
      <c r="A14" s="54" t="s">
        <v>52</v>
      </c>
      <c r="B14" s="90">
        <v>208</v>
      </c>
      <c r="C14" s="77">
        <f>C13/$C$5</f>
        <v>20.513677625944819</v>
      </c>
      <c r="D14" s="55" t="s">
        <v>5</v>
      </c>
    </row>
    <row r="15" spans="1:4">
      <c r="A15" s="67" t="s">
        <v>158</v>
      </c>
      <c r="B15" s="90"/>
      <c r="C15" s="50"/>
      <c r="D15" s="68"/>
    </row>
    <row r="16" spans="1:4">
      <c r="A16" s="64" t="s">
        <v>32</v>
      </c>
      <c r="B16" s="90">
        <v>209</v>
      </c>
      <c r="C16" s="75">
        <v>15</v>
      </c>
      <c r="D16" s="51" t="s">
        <v>53</v>
      </c>
    </row>
    <row r="17" spans="1:4">
      <c r="A17" s="54" t="s">
        <v>110</v>
      </c>
      <c r="B17" s="90">
        <v>210</v>
      </c>
      <c r="C17" s="77">
        <f>'Timekostprisberegning(300)'!$C$43/60*C16</f>
        <v>71.210485162155123</v>
      </c>
      <c r="D17" s="55" t="s">
        <v>5</v>
      </c>
    </row>
    <row r="18" spans="1:4">
      <c r="A18" s="80" t="s">
        <v>141</v>
      </c>
      <c r="B18" s="93">
        <v>211</v>
      </c>
      <c r="C18" s="36">
        <f>C14+C17</f>
        <v>91.724162788099946</v>
      </c>
      <c r="D18" s="51" t="s">
        <v>5</v>
      </c>
    </row>
    <row r="19" spans="1:4">
      <c r="A19" s="81" t="s">
        <v>59</v>
      </c>
      <c r="B19" s="90">
        <v>212</v>
      </c>
      <c r="C19" s="77">
        <f>C18/100*25</f>
        <v>22.931040697024986</v>
      </c>
      <c r="D19" s="55" t="s">
        <v>5</v>
      </c>
    </row>
    <row r="20" spans="1:4" ht="12" thickBot="1">
      <c r="A20" s="82" t="s">
        <v>142</v>
      </c>
      <c r="B20" s="93">
        <v>213</v>
      </c>
      <c r="C20" s="53">
        <f>C18+C19</f>
        <v>114.65520348512493</v>
      </c>
      <c r="D20" s="83" t="s">
        <v>5</v>
      </c>
    </row>
    <row r="21" spans="1:4" ht="12" thickBot="1">
      <c r="B21" s="98"/>
      <c r="C21" s="3"/>
      <c r="D21" s="20"/>
    </row>
    <row r="22" spans="1:4">
      <c r="A22" s="61" t="s">
        <v>140</v>
      </c>
      <c r="B22" s="92"/>
      <c r="C22" s="71"/>
      <c r="D22" s="63"/>
    </row>
    <row r="23" spans="1:4">
      <c r="A23" s="64" t="s">
        <v>155</v>
      </c>
      <c r="B23" s="90">
        <v>214</v>
      </c>
      <c r="C23" s="75">
        <v>4</v>
      </c>
      <c r="D23" s="51" t="s">
        <v>40</v>
      </c>
    </row>
    <row r="24" spans="1:4">
      <c r="A24" s="54" t="s">
        <v>60</v>
      </c>
      <c r="B24" s="90">
        <v>215</v>
      </c>
      <c r="C24" s="76">
        <v>60</v>
      </c>
      <c r="D24" s="55" t="s">
        <v>5</v>
      </c>
    </row>
    <row r="25" spans="1:4">
      <c r="A25" s="54" t="s">
        <v>159</v>
      </c>
      <c r="B25" s="90">
        <v>216</v>
      </c>
      <c r="C25" s="76">
        <v>24</v>
      </c>
      <c r="D25" s="55" t="s">
        <v>40</v>
      </c>
    </row>
    <row r="26" spans="1:4">
      <c r="A26" s="54" t="s">
        <v>160</v>
      </c>
      <c r="B26" s="90">
        <v>217</v>
      </c>
      <c r="C26" s="76">
        <v>6</v>
      </c>
      <c r="D26" s="55" t="s">
        <v>5</v>
      </c>
    </row>
    <row r="27" spans="1:4">
      <c r="A27" s="64" t="s">
        <v>32</v>
      </c>
      <c r="B27" s="90">
        <v>218</v>
      </c>
      <c r="C27" s="75">
        <v>1.5</v>
      </c>
      <c r="D27" s="51" t="s">
        <v>109</v>
      </c>
    </row>
    <row r="28" spans="1:4">
      <c r="A28" s="54" t="s">
        <v>51</v>
      </c>
      <c r="B28" s="90">
        <v>219</v>
      </c>
      <c r="C28" s="77">
        <f>'Timekostprisberegning(300)'!$C$43*C27+C23*C24+C25*C26</f>
        <v>811.26291097293074</v>
      </c>
      <c r="D28" s="55" t="s">
        <v>5</v>
      </c>
    </row>
    <row r="29" spans="1:4">
      <c r="A29" s="54" t="s">
        <v>52</v>
      </c>
      <c r="B29" s="90">
        <v>220</v>
      </c>
      <c r="C29" s="77">
        <f>C28/$C$5</f>
        <v>32.450516438917226</v>
      </c>
      <c r="D29" s="55" t="s">
        <v>5</v>
      </c>
    </row>
    <row r="30" spans="1:4">
      <c r="A30" s="67" t="s">
        <v>158</v>
      </c>
      <c r="B30" s="92"/>
      <c r="C30" s="50"/>
      <c r="D30" s="68"/>
    </row>
    <row r="31" spans="1:4">
      <c r="A31" s="64" t="s">
        <v>32</v>
      </c>
      <c r="B31" s="90">
        <v>221</v>
      </c>
      <c r="C31" s="75">
        <v>22.5</v>
      </c>
      <c r="D31" s="51" t="s">
        <v>53</v>
      </c>
    </row>
    <row r="32" spans="1:4">
      <c r="A32" s="54" t="s">
        <v>110</v>
      </c>
      <c r="B32" s="90">
        <v>222</v>
      </c>
      <c r="C32" s="77">
        <f>'Timekostprisberegning(300)'!$C$43/60*C31</f>
        <v>106.81572774323269</v>
      </c>
      <c r="D32" s="55" t="s">
        <v>5</v>
      </c>
    </row>
    <row r="33" spans="1:4">
      <c r="A33" s="80" t="s">
        <v>143</v>
      </c>
      <c r="B33" s="93">
        <v>223</v>
      </c>
      <c r="C33" s="36">
        <f>C29+C32</f>
        <v>139.2662441821499</v>
      </c>
      <c r="D33" s="51" t="s">
        <v>5</v>
      </c>
    </row>
    <row r="34" spans="1:4">
      <c r="A34" s="81" t="s">
        <v>59</v>
      </c>
      <c r="B34" s="90">
        <v>224</v>
      </c>
      <c r="C34" s="77">
        <f>C33/100*25</f>
        <v>34.816561045537476</v>
      </c>
      <c r="D34" s="55" t="s">
        <v>5</v>
      </c>
    </row>
    <row r="35" spans="1:4" ht="12" thickBot="1">
      <c r="A35" s="82" t="s">
        <v>144</v>
      </c>
      <c r="B35" s="93">
        <v>225</v>
      </c>
      <c r="C35" s="53">
        <f>C33+C34</f>
        <v>174.08280522768737</v>
      </c>
      <c r="D35" s="83" t="s">
        <v>5</v>
      </c>
    </row>
    <row r="36" spans="1:4" ht="12" thickBot="1">
      <c r="B36" s="98"/>
      <c r="C36" s="3"/>
      <c r="D36" s="20"/>
    </row>
    <row r="37" spans="1:4">
      <c r="A37" s="61" t="s">
        <v>75</v>
      </c>
      <c r="B37" s="91"/>
      <c r="C37" s="71"/>
      <c r="D37" s="63"/>
    </row>
    <row r="38" spans="1:4">
      <c r="A38" s="64" t="s">
        <v>161</v>
      </c>
      <c r="B38" s="90">
        <v>226</v>
      </c>
      <c r="C38" s="75">
        <v>2</v>
      </c>
      <c r="D38" s="51" t="s">
        <v>40</v>
      </c>
    </row>
    <row r="39" spans="1:4">
      <c r="A39" s="54" t="s">
        <v>50</v>
      </c>
      <c r="B39" s="90">
        <v>227</v>
      </c>
      <c r="C39" s="76">
        <v>60</v>
      </c>
      <c r="D39" s="55" t="s">
        <v>5</v>
      </c>
    </row>
    <row r="40" spans="1:4">
      <c r="A40" s="54" t="s">
        <v>156</v>
      </c>
      <c r="B40" s="90">
        <v>228</v>
      </c>
      <c r="C40" s="76">
        <v>8</v>
      </c>
      <c r="D40" s="55" t="s">
        <v>40</v>
      </c>
    </row>
    <row r="41" spans="1:4">
      <c r="A41" s="54" t="s">
        <v>160</v>
      </c>
      <c r="B41" s="90">
        <v>229</v>
      </c>
      <c r="C41" s="76">
        <v>15</v>
      </c>
      <c r="D41" s="55" t="s">
        <v>5</v>
      </c>
    </row>
    <row r="42" spans="1:4">
      <c r="A42" s="64" t="s">
        <v>32</v>
      </c>
      <c r="B42" s="90">
        <v>230</v>
      </c>
      <c r="C42" s="75">
        <v>0.75</v>
      </c>
      <c r="D42" s="51" t="s">
        <v>109</v>
      </c>
    </row>
    <row r="43" spans="1:4">
      <c r="A43" s="54" t="s">
        <v>51</v>
      </c>
      <c r="B43" s="90">
        <v>231</v>
      </c>
      <c r="C43" s="77">
        <f>'Timekostprisberegning(300)'!$C$43*C42+C38*C39+C40*C41</f>
        <v>453.63145548646537</v>
      </c>
      <c r="D43" s="55" t="s">
        <v>5</v>
      </c>
    </row>
    <row r="44" spans="1:4">
      <c r="A44" s="54" t="s">
        <v>52</v>
      </c>
      <c r="B44" s="90">
        <v>232</v>
      </c>
      <c r="C44" s="77">
        <f>C43/$C$5</f>
        <v>18.145258219458615</v>
      </c>
      <c r="D44" s="55" t="s">
        <v>5</v>
      </c>
    </row>
    <row r="45" spans="1:4">
      <c r="A45" s="67" t="s">
        <v>158</v>
      </c>
      <c r="B45" s="90"/>
      <c r="C45" s="50"/>
      <c r="D45" s="68"/>
    </row>
    <row r="46" spans="1:4">
      <c r="A46" s="64" t="s">
        <v>32</v>
      </c>
      <c r="B46" s="90">
        <v>233</v>
      </c>
      <c r="C46" s="75">
        <v>10</v>
      </c>
      <c r="D46" s="51" t="s">
        <v>53</v>
      </c>
    </row>
    <row r="47" spans="1:4">
      <c r="A47" s="54" t="s">
        <v>110</v>
      </c>
      <c r="B47" s="90">
        <v>234</v>
      </c>
      <c r="C47" s="77">
        <f>'Timekostprisberegning(300)'!$C$43/60*C46</f>
        <v>47.473656774770078</v>
      </c>
      <c r="D47" s="55" t="s">
        <v>5</v>
      </c>
    </row>
    <row r="48" spans="1:4">
      <c r="A48" s="80" t="s">
        <v>145</v>
      </c>
      <c r="B48" s="93">
        <v>235</v>
      </c>
      <c r="C48" s="36">
        <f>C44+C47</f>
        <v>65.618914994228689</v>
      </c>
      <c r="D48" s="51" t="s">
        <v>5</v>
      </c>
    </row>
    <row r="49" spans="1:4">
      <c r="A49" s="81" t="s">
        <v>59</v>
      </c>
      <c r="B49" s="90">
        <v>236</v>
      </c>
      <c r="C49" s="77">
        <f>C48/100*25</f>
        <v>16.404728748557172</v>
      </c>
      <c r="D49" s="55" t="s">
        <v>5</v>
      </c>
    </row>
    <row r="50" spans="1:4" ht="12" thickBot="1">
      <c r="A50" s="82" t="s">
        <v>146</v>
      </c>
      <c r="B50" s="93">
        <v>237</v>
      </c>
      <c r="C50" s="53">
        <f>C48+C49</f>
        <v>82.023643742785865</v>
      </c>
      <c r="D50" s="83" t="s">
        <v>5</v>
      </c>
    </row>
    <row r="51" spans="1:4">
      <c r="B51" s="99"/>
      <c r="C51" s="15"/>
      <c r="D51" s="3"/>
    </row>
    <row r="52" spans="1:4">
      <c r="B52" s="99"/>
      <c r="C52" s="15"/>
      <c r="D52" s="3"/>
    </row>
    <row r="53" spans="1:4">
      <c r="B53" s="99"/>
      <c r="C53" s="15"/>
      <c r="D53" s="3"/>
    </row>
    <row r="54" spans="1:4">
      <c r="B54" s="99"/>
      <c r="C54" s="15"/>
      <c r="D54" s="3"/>
    </row>
    <row r="55" spans="1:4">
      <c r="B55" s="99"/>
      <c r="C55" s="15"/>
      <c r="D55" s="3"/>
    </row>
    <row r="56" spans="1:4">
      <c r="B56" s="99"/>
      <c r="C56" s="15"/>
      <c r="D56" s="3"/>
    </row>
    <row r="57" spans="1:4">
      <c r="B57" s="99"/>
      <c r="C57" s="15"/>
      <c r="D57" s="3"/>
    </row>
    <row r="58" spans="1:4">
      <c r="B58" s="99"/>
      <c r="C58" s="15"/>
      <c r="D58" s="3"/>
    </row>
    <row r="59" spans="1:4">
      <c r="B59" s="99"/>
      <c r="C59" s="15"/>
      <c r="D59" s="3"/>
    </row>
    <row r="60" spans="1:4">
      <c r="B60" s="99"/>
      <c r="C60" s="15"/>
      <c r="D60" s="3"/>
    </row>
    <row r="61" spans="1:4">
      <c r="B61" s="99"/>
      <c r="C61" s="15"/>
      <c r="D61" s="3"/>
    </row>
    <row r="62" spans="1:4">
      <c r="B62" s="99"/>
      <c r="C62" s="15"/>
      <c r="D62" s="3"/>
    </row>
    <row r="63" spans="1:4">
      <c r="B63" s="99"/>
      <c r="C63" s="15"/>
      <c r="D63" s="3"/>
    </row>
    <row r="64" spans="1:4">
      <c r="B64" s="99"/>
      <c r="C64" s="15"/>
      <c r="D64" s="3"/>
    </row>
    <row r="65" spans="2:4">
      <c r="B65" s="99"/>
      <c r="C65" s="15"/>
      <c r="D65" s="3"/>
    </row>
    <row r="66" spans="2:4">
      <c r="B66" s="99"/>
      <c r="C66" s="15"/>
      <c r="D66" s="3"/>
    </row>
    <row r="67" spans="2:4">
      <c r="B67" s="99"/>
      <c r="C67" s="15"/>
      <c r="D67" s="3"/>
    </row>
    <row r="68" spans="2:4">
      <c r="B68" s="99"/>
      <c r="C68" s="15"/>
      <c r="D68" s="3"/>
    </row>
    <row r="69" spans="2:4">
      <c r="B69" s="99"/>
      <c r="C69" s="15"/>
      <c r="D69" s="3"/>
    </row>
    <row r="70" spans="2:4">
      <c r="B70" s="99"/>
      <c r="C70" s="15"/>
      <c r="D70" s="3"/>
    </row>
    <row r="71" spans="2:4">
      <c r="B71" s="99"/>
      <c r="C71" s="15"/>
      <c r="D71" s="3"/>
    </row>
    <row r="72" spans="2:4">
      <c r="B72" s="99"/>
      <c r="C72" s="15"/>
      <c r="D72" s="3"/>
    </row>
    <row r="73" spans="2:4">
      <c r="B73" s="99"/>
      <c r="C73" s="15"/>
      <c r="D73" s="3"/>
    </row>
  </sheetData>
  <mergeCells count="1">
    <mergeCell ref="B1:B4"/>
  </mergeCells>
  <phoneticPr fontId="1" type="noConversion"/>
  <pageMargins left="0.75" right="0.75" top="0.24" bottom="0.16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5"/>
  <sheetViews>
    <sheetView workbookViewId="0">
      <pane ySplit="4" topLeftCell="A5" activePane="bottomLeft" state="frozen"/>
      <selection pane="bottomLeft" activeCell="C33" sqref="C33"/>
    </sheetView>
  </sheetViews>
  <sheetFormatPr defaultRowHeight="11.25"/>
  <cols>
    <col min="1" max="1" width="77" style="3" customWidth="1"/>
    <col min="2" max="2" width="5.42578125" style="89" customWidth="1"/>
    <col min="3" max="3" width="15.28515625" style="4" bestFit="1" customWidth="1"/>
    <col min="4" max="4" width="6" style="15" customWidth="1"/>
    <col min="5" max="16384" width="9.140625" style="3"/>
  </cols>
  <sheetData>
    <row r="1" spans="1:5" ht="12.75">
      <c r="A1" s="1" t="s">
        <v>13</v>
      </c>
      <c r="B1" s="134" t="s">
        <v>83</v>
      </c>
      <c r="C1" s="40" t="s">
        <v>10</v>
      </c>
    </row>
    <row r="2" spans="1:5">
      <c r="A2" s="2"/>
      <c r="B2" s="135"/>
      <c r="C2" s="41" t="s">
        <v>11</v>
      </c>
    </row>
    <row r="3" spans="1:5">
      <c r="A3" s="2"/>
      <c r="B3" s="135"/>
      <c r="C3" s="42" t="s">
        <v>12</v>
      </c>
    </row>
    <row r="4" spans="1:5">
      <c r="B4" s="136"/>
    </row>
    <row r="5" spans="1:5">
      <c r="B5" s="94"/>
    </row>
    <row r="6" spans="1:5">
      <c r="A6" s="2" t="s">
        <v>82</v>
      </c>
      <c r="B6" s="92"/>
    </row>
    <row r="7" spans="1:5">
      <c r="A7" s="5" t="s">
        <v>46</v>
      </c>
      <c r="B7" s="90">
        <v>301</v>
      </c>
      <c r="C7" s="107">
        <v>1924</v>
      </c>
      <c r="D7" s="18" t="s">
        <v>16</v>
      </c>
      <c r="E7" s="3" t="s">
        <v>49</v>
      </c>
    </row>
    <row r="8" spans="1:5">
      <c r="A8" s="5" t="s">
        <v>17</v>
      </c>
      <c r="B8" s="90">
        <v>302</v>
      </c>
      <c r="C8" s="10">
        <v>185</v>
      </c>
      <c r="D8" s="24" t="s">
        <v>16</v>
      </c>
      <c r="E8" s="3" t="s">
        <v>49</v>
      </c>
    </row>
    <row r="9" spans="1:5">
      <c r="A9" s="5" t="s">
        <v>18</v>
      </c>
      <c r="B9" s="90">
        <v>303</v>
      </c>
      <c r="C9" s="10">
        <v>37</v>
      </c>
      <c r="D9" s="24" t="s">
        <v>16</v>
      </c>
      <c r="E9" s="3" t="s">
        <v>49</v>
      </c>
    </row>
    <row r="10" spans="1:5">
      <c r="A10" s="5" t="s">
        <v>19</v>
      </c>
      <c r="B10" s="90">
        <v>304</v>
      </c>
      <c r="C10" s="10">
        <v>74</v>
      </c>
      <c r="D10" s="24" t="s">
        <v>16</v>
      </c>
      <c r="E10" s="3" t="s">
        <v>49</v>
      </c>
    </row>
    <row r="11" spans="1:5">
      <c r="A11" s="5" t="s">
        <v>20</v>
      </c>
      <c r="B11" s="90">
        <v>305</v>
      </c>
      <c r="C11" s="11">
        <v>37</v>
      </c>
      <c r="D11" s="24" t="s">
        <v>16</v>
      </c>
    </row>
    <row r="12" spans="1:5">
      <c r="A12" s="5" t="s">
        <v>21</v>
      </c>
      <c r="B12" s="90">
        <v>306</v>
      </c>
      <c r="C12" s="6">
        <v>37</v>
      </c>
      <c r="D12" s="24" t="s">
        <v>16</v>
      </c>
    </row>
    <row r="13" spans="1:5">
      <c r="B13" s="92"/>
    </row>
    <row r="14" spans="1:5">
      <c r="A14" s="5" t="s">
        <v>62</v>
      </c>
      <c r="B14" s="90">
        <v>307</v>
      </c>
      <c r="C14" s="9">
        <f>C7-C8-C9-C10-C11-C12</f>
        <v>1554</v>
      </c>
      <c r="D14" s="24" t="s">
        <v>16</v>
      </c>
    </row>
    <row r="15" spans="1:5">
      <c r="A15" s="19"/>
      <c r="B15" s="94"/>
      <c r="C15" s="3"/>
    </row>
    <row r="16" spans="1:5">
      <c r="A16" s="2" t="s">
        <v>1</v>
      </c>
      <c r="B16" s="92"/>
      <c r="C16" s="8"/>
    </row>
    <row r="17" spans="1:4">
      <c r="A17" s="5" t="s">
        <v>0</v>
      </c>
      <c r="B17" s="90">
        <v>308</v>
      </c>
      <c r="C17" s="112">
        <f>'Erhvervelse og fornyelse(100)'!C10</f>
        <v>1350000</v>
      </c>
      <c r="D17" s="18" t="s">
        <v>5</v>
      </c>
    </row>
    <row r="18" spans="1:4">
      <c r="A18" s="5" t="s">
        <v>111</v>
      </c>
      <c r="B18" s="90">
        <v>309</v>
      </c>
      <c r="C18" s="17">
        <v>4.0999999999999996</v>
      </c>
      <c r="D18" s="24" t="s">
        <v>14</v>
      </c>
    </row>
    <row r="19" spans="1:4">
      <c r="B19" s="90"/>
    </row>
    <row r="20" spans="1:4">
      <c r="A20" s="5" t="s">
        <v>15</v>
      </c>
      <c r="B20" s="90">
        <v>310</v>
      </c>
      <c r="C20" s="9">
        <f>C17/C18</f>
        <v>329268.29268292687</v>
      </c>
      <c r="D20" s="18" t="s">
        <v>5</v>
      </c>
    </row>
    <row r="21" spans="1:4">
      <c r="A21" s="19"/>
      <c r="B21" s="94"/>
      <c r="C21" s="3"/>
      <c r="D21" s="20"/>
    </row>
    <row r="22" spans="1:4">
      <c r="A22" s="21" t="s">
        <v>24</v>
      </c>
      <c r="B22" s="90">
        <v>311</v>
      </c>
      <c r="C22" s="14">
        <f>C20/C14</f>
        <v>211.88435822582167</v>
      </c>
      <c r="D22" s="18" t="s">
        <v>5</v>
      </c>
    </row>
    <row r="23" spans="1:4">
      <c r="B23" s="94"/>
    </row>
    <row r="24" spans="1:4">
      <c r="A24" s="33" t="s">
        <v>137</v>
      </c>
      <c r="B24" s="92"/>
      <c r="C24" s="8"/>
    </row>
    <row r="25" spans="1:4">
      <c r="A25" s="21" t="s">
        <v>138</v>
      </c>
      <c r="B25" s="90">
        <v>312</v>
      </c>
      <c r="C25" s="9">
        <f>C14*C18</f>
        <v>6371.4</v>
      </c>
      <c r="D25" s="18" t="s">
        <v>16</v>
      </c>
    </row>
    <row r="26" spans="1:4">
      <c r="A26" s="5" t="s">
        <v>22</v>
      </c>
      <c r="B26" s="90">
        <v>313</v>
      </c>
      <c r="C26" s="6">
        <v>1000</v>
      </c>
      <c r="D26" s="24" t="s">
        <v>16</v>
      </c>
    </row>
    <row r="27" spans="1:4">
      <c r="A27" s="5"/>
      <c r="B27" s="90"/>
      <c r="C27" s="16"/>
    </row>
    <row r="28" spans="1:4">
      <c r="A28" s="10" t="s">
        <v>23</v>
      </c>
      <c r="B28" s="90">
        <v>314</v>
      </c>
      <c r="C28" s="22">
        <f>C25-C26</f>
        <v>5371.4</v>
      </c>
      <c r="D28" s="18" t="s">
        <v>16</v>
      </c>
    </row>
    <row r="29" spans="1:4">
      <c r="B29" s="94"/>
    </row>
    <row r="30" spans="1:4">
      <c r="A30" s="2" t="s">
        <v>47</v>
      </c>
      <c r="B30" s="92"/>
    </row>
    <row r="31" spans="1:4">
      <c r="A31" s="5" t="s">
        <v>164</v>
      </c>
      <c r="B31" s="90">
        <v>315</v>
      </c>
      <c r="C31" s="112">
        <f>'Erhvervelse og fornyelse(100)'!C7</f>
        <v>20000</v>
      </c>
      <c r="D31" s="18" t="s">
        <v>9</v>
      </c>
    </row>
    <row r="32" spans="1:4">
      <c r="A32" s="5" t="s">
        <v>165</v>
      </c>
      <c r="B32" s="90">
        <v>316</v>
      </c>
      <c r="C32" s="112">
        <f>'Erhvervelse og fornyelse(100)'!C8</f>
        <v>12000</v>
      </c>
      <c r="D32" s="24" t="s">
        <v>9</v>
      </c>
    </row>
    <row r="33" spans="1:4">
      <c r="A33" s="5" t="s">
        <v>166</v>
      </c>
      <c r="B33" s="90">
        <v>317</v>
      </c>
      <c r="C33" s="112">
        <f>'Erhvervelse og fornyelse(100)'!C13</f>
        <v>300000</v>
      </c>
      <c r="D33" s="24" t="s">
        <v>5</v>
      </c>
    </row>
    <row r="34" spans="1:4">
      <c r="B34" s="90"/>
    </row>
    <row r="35" spans="1:4">
      <c r="A35" s="21" t="s">
        <v>168</v>
      </c>
      <c r="B35" s="90">
        <v>318</v>
      </c>
      <c r="C35" s="14">
        <f>(C33/(C31/C32))/$C$28</f>
        <v>33.510816546896528</v>
      </c>
      <c r="D35" s="18" t="s">
        <v>5</v>
      </c>
    </row>
    <row r="36" spans="1:4">
      <c r="B36" s="94"/>
      <c r="D36" s="3"/>
    </row>
    <row r="37" spans="1:4">
      <c r="A37" s="2" t="s">
        <v>25</v>
      </c>
      <c r="B37" s="92"/>
    </row>
    <row r="38" spans="1:4">
      <c r="A38" s="5" t="s">
        <v>73</v>
      </c>
      <c r="B38" s="90">
        <v>319</v>
      </c>
      <c r="C38" s="9">
        <f>C26*C22</f>
        <v>211884.35822582166</v>
      </c>
      <c r="D38" s="18" t="s">
        <v>5</v>
      </c>
    </row>
    <row r="39" spans="1:4">
      <c r="B39" s="91"/>
      <c r="C39" s="3"/>
    </row>
    <row r="40" spans="1:4">
      <c r="A40" s="21" t="s">
        <v>167</v>
      </c>
      <c r="B40" s="90">
        <v>320</v>
      </c>
      <c r="C40" s="14">
        <f>C38/$C$28</f>
        <v>39.446765875902315</v>
      </c>
      <c r="D40" s="18" t="s">
        <v>5</v>
      </c>
    </row>
    <row r="41" spans="1:4">
      <c r="B41" s="94"/>
    </row>
    <row r="42" spans="1:4">
      <c r="A42" s="2" t="s">
        <v>26</v>
      </c>
      <c r="B42" s="92"/>
    </row>
    <row r="43" spans="1:4">
      <c r="A43" s="34" t="s">
        <v>112</v>
      </c>
      <c r="B43" s="105">
        <v>321</v>
      </c>
      <c r="C43" s="36">
        <f>C22+C35+C40</f>
        <v>284.84194064862049</v>
      </c>
      <c r="D43" s="18" t="s">
        <v>5</v>
      </c>
    </row>
    <row r="44" spans="1:4">
      <c r="B44" s="15"/>
    </row>
    <row r="45" spans="1:4">
      <c r="B45" s="15"/>
    </row>
    <row r="46" spans="1:4">
      <c r="B46" s="15"/>
    </row>
    <row r="47" spans="1:4">
      <c r="B47" s="15"/>
    </row>
    <row r="48" spans="1:4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15"/>
    </row>
    <row r="56" spans="2:2">
      <c r="B56" s="15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  <row r="74" spans="2:2">
      <c r="B74" s="7"/>
    </row>
    <row r="75" spans="2:2">
      <c r="B75" s="7"/>
    </row>
  </sheetData>
  <mergeCells count="1">
    <mergeCell ref="B1:B4"/>
  </mergeCells>
  <phoneticPr fontId="1" type="noConversion"/>
  <pageMargins left="0.75" right="0.75" top="0.47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0"/>
  <sheetViews>
    <sheetView workbookViewId="0">
      <pane ySplit="4" topLeftCell="A5" activePane="bottomLeft" state="frozen"/>
      <selection pane="bottomLeft"/>
    </sheetView>
  </sheetViews>
  <sheetFormatPr defaultRowHeight="11.25"/>
  <cols>
    <col min="1" max="1" width="57.42578125" style="3" bestFit="1" customWidth="1"/>
    <col min="2" max="2" width="5.42578125" style="89" customWidth="1"/>
    <col min="3" max="3" width="15.28515625" style="3" bestFit="1" customWidth="1"/>
    <col min="4" max="4" width="5" style="15" customWidth="1"/>
    <col min="5" max="16384" width="9.140625" style="3"/>
  </cols>
  <sheetData>
    <row r="1" spans="1:5" ht="12.75">
      <c r="A1" s="1" t="s">
        <v>58</v>
      </c>
      <c r="B1" s="134" t="s">
        <v>83</v>
      </c>
      <c r="C1" s="40" t="s">
        <v>10</v>
      </c>
    </row>
    <row r="2" spans="1:5" ht="12.75">
      <c r="A2" s="1" t="s">
        <v>162</v>
      </c>
      <c r="B2" s="135"/>
      <c r="C2" s="41" t="s">
        <v>11</v>
      </c>
    </row>
    <row r="3" spans="1:5">
      <c r="B3" s="135"/>
      <c r="C3" s="42" t="s">
        <v>12</v>
      </c>
    </row>
    <row r="4" spans="1:5">
      <c r="B4" s="136"/>
    </row>
    <row r="5" spans="1:5" ht="12" thickBot="1">
      <c r="B5" s="98"/>
    </row>
    <row r="6" spans="1:5">
      <c r="A6" s="61" t="s">
        <v>54</v>
      </c>
      <c r="B6" s="121"/>
      <c r="C6" s="84"/>
      <c r="D6" s="63"/>
    </row>
    <row r="7" spans="1:5">
      <c r="A7" s="64" t="s">
        <v>27</v>
      </c>
      <c r="B7" s="90">
        <v>401</v>
      </c>
      <c r="C7" s="12">
        <v>1</v>
      </c>
      <c r="D7" s="51" t="s">
        <v>16</v>
      </c>
    </row>
    <row r="8" spans="1:5">
      <c r="A8" s="54" t="s">
        <v>169</v>
      </c>
      <c r="B8" s="90">
        <v>402</v>
      </c>
      <c r="C8" s="13">
        <v>5</v>
      </c>
      <c r="D8" s="51" t="s">
        <v>16</v>
      </c>
    </row>
    <row r="9" spans="1:5">
      <c r="A9" s="54" t="s">
        <v>28</v>
      </c>
      <c r="B9" s="90">
        <v>403</v>
      </c>
      <c r="C9" s="13">
        <v>1</v>
      </c>
      <c r="D9" s="51" t="s">
        <v>16</v>
      </c>
    </row>
    <row r="10" spans="1:5">
      <c r="A10" s="54" t="s">
        <v>196</v>
      </c>
      <c r="B10" s="90">
        <v>404</v>
      </c>
      <c r="C10" s="13">
        <v>4</v>
      </c>
      <c r="D10" s="51" t="s">
        <v>16</v>
      </c>
    </row>
    <row r="11" spans="1:5">
      <c r="A11" s="85" t="s">
        <v>29</v>
      </c>
      <c r="B11" s="90">
        <v>405</v>
      </c>
      <c r="C11" s="13">
        <v>1</v>
      </c>
      <c r="D11" s="51" t="s">
        <v>16</v>
      </c>
    </row>
    <row r="12" spans="1:5">
      <c r="A12" s="64" t="s">
        <v>170</v>
      </c>
      <c r="B12" s="90">
        <v>406</v>
      </c>
      <c r="C12" s="14">
        <f>SUM(C7:C11)</f>
        <v>12</v>
      </c>
      <c r="D12" s="51" t="s">
        <v>16</v>
      </c>
    </row>
    <row r="13" spans="1:5">
      <c r="A13" s="49"/>
      <c r="B13" s="92"/>
      <c r="C13" s="19"/>
      <c r="D13" s="68"/>
    </row>
    <row r="14" spans="1:5">
      <c r="A14" s="64" t="s">
        <v>172</v>
      </c>
      <c r="B14" s="90">
        <v>407</v>
      </c>
      <c r="C14" s="13"/>
      <c r="D14" s="51" t="s">
        <v>5</v>
      </c>
      <c r="E14" s="79"/>
    </row>
    <row r="15" spans="1:5">
      <c r="A15" s="49"/>
      <c r="B15" s="90"/>
      <c r="C15" s="19"/>
      <c r="D15" s="68"/>
    </row>
    <row r="16" spans="1:5" ht="12" thickBot="1">
      <c r="A16" s="52" t="s">
        <v>171</v>
      </c>
      <c r="B16" s="101">
        <v>409</v>
      </c>
      <c r="C16" s="53">
        <f>'Timekostprisberegning(300)'!$C$43*C12+C14</f>
        <v>3418.1032877834459</v>
      </c>
      <c r="D16" s="83" t="s">
        <v>5</v>
      </c>
    </row>
    <row r="17" spans="1:4">
      <c r="A17" s="49" t="s">
        <v>210</v>
      </c>
      <c r="B17" s="91">
        <v>410</v>
      </c>
      <c r="C17" s="122"/>
      <c r="D17" s="63" t="s">
        <v>5</v>
      </c>
    </row>
    <row r="18" spans="1:4" ht="12" thickBot="1">
      <c r="A18" s="123" t="s">
        <v>208</v>
      </c>
      <c r="B18" s="118">
        <v>411</v>
      </c>
      <c r="C18" s="119"/>
      <c r="D18" s="124" t="s">
        <v>5</v>
      </c>
    </row>
    <row r="19" spans="1:4">
      <c r="A19" s="33"/>
      <c r="B19" s="120"/>
      <c r="C19" s="19"/>
      <c r="D19" s="116"/>
    </row>
    <row r="20" spans="1:4" ht="12" thickBot="1">
      <c r="B20" s="95"/>
    </row>
    <row r="21" spans="1:4">
      <c r="A21" s="61" t="s">
        <v>55</v>
      </c>
      <c r="B21" s="121"/>
      <c r="C21" s="84"/>
      <c r="D21" s="63"/>
    </row>
    <row r="22" spans="1:4">
      <c r="A22" s="64" t="s">
        <v>56</v>
      </c>
      <c r="B22" s="90">
        <v>412</v>
      </c>
      <c r="C22" s="12">
        <v>1.5</v>
      </c>
      <c r="D22" s="51" t="s">
        <v>16</v>
      </c>
    </row>
    <row r="23" spans="1:4">
      <c r="A23" s="54" t="s">
        <v>57</v>
      </c>
      <c r="B23" s="90">
        <v>413</v>
      </c>
      <c r="C23" s="13">
        <v>1.5</v>
      </c>
      <c r="D23" s="51" t="s">
        <v>16</v>
      </c>
    </row>
    <row r="24" spans="1:4">
      <c r="A24" s="49"/>
      <c r="B24" s="90"/>
      <c r="C24" s="50"/>
      <c r="D24" s="68"/>
    </row>
    <row r="25" spans="1:4">
      <c r="A25" s="64" t="s">
        <v>173</v>
      </c>
      <c r="B25" s="90">
        <v>414</v>
      </c>
      <c r="C25" s="14">
        <f>SUM(C22:C24)</f>
        <v>3</v>
      </c>
      <c r="D25" s="51" t="s">
        <v>16</v>
      </c>
    </row>
    <row r="26" spans="1:4">
      <c r="A26" s="49"/>
      <c r="B26" s="90"/>
      <c r="C26" s="19"/>
      <c r="D26" s="68"/>
    </row>
    <row r="27" spans="1:4" ht="12" thickBot="1">
      <c r="A27" s="52" t="s">
        <v>174</v>
      </c>
      <c r="B27" s="101">
        <v>415</v>
      </c>
      <c r="C27" s="53">
        <f>'Timekostprisberegning(300)'!$C$43*C25</f>
        <v>854.52582194586148</v>
      </c>
      <c r="D27" s="83" t="s">
        <v>5</v>
      </c>
    </row>
    <row r="28" spans="1:4">
      <c r="A28" s="49" t="s">
        <v>210</v>
      </c>
      <c r="B28" s="91">
        <v>416</v>
      </c>
      <c r="C28" s="122"/>
      <c r="D28" s="63" t="s">
        <v>5</v>
      </c>
    </row>
    <row r="29" spans="1:4" ht="12" thickBot="1">
      <c r="A29" s="123" t="s">
        <v>209</v>
      </c>
      <c r="B29" s="118">
        <v>417</v>
      </c>
      <c r="C29" s="119"/>
      <c r="D29" s="124" t="s">
        <v>5</v>
      </c>
    </row>
    <row r="30" spans="1:4">
      <c r="B30" s="3"/>
    </row>
    <row r="31" spans="1:4">
      <c r="B31" s="3"/>
    </row>
    <row r="32" spans="1:4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15"/>
    </row>
    <row r="40" spans="2:2">
      <c r="B40" s="15"/>
    </row>
    <row r="41" spans="2:2">
      <c r="B41" s="15"/>
    </row>
    <row r="42" spans="2:2">
      <c r="B42" s="15"/>
    </row>
    <row r="43" spans="2:2">
      <c r="B43" s="15"/>
    </row>
    <row r="44" spans="2:2">
      <c r="B44" s="15"/>
    </row>
    <row r="45" spans="2:2">
      <c r="B45" s="15"/>
    </row>
    <row r="46" spans="2:2">
      <c r="B46" s="15"/>
    </row>
    <row r="47" spans="2:2">
      <c r="B47" s="15"/>
    </row>
    <row r="48" spans="2:2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7"/>
    </row>
    <row r="53" spans="2:2">
      <c r="B53" s="7"/>
    </row>
    <row r="54" spans="2:2">
      <c r="B54" s="7"/>
    </row>
    <row r="55" spans="2:2">
      <c r="B55" s="7"/>
    </row>
    <row r="56" spans="2:2">
      <c r="B56" s="7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</sheetData>
  <mergeCells count="1">
    <mergeCell ref="B1:B4"/>
  </mergeCells>
  <phoneticPr fontId="1" type="noConversion"/>
  <pageMargins left="0.75" right="0.75" top="1" bottom="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73"/>
  <sheetViews>
    <sheetView workbookViewId="0">
      <pane ySplit="4" topLeftCell="A5" activePane="bottomLeft" state="frozen"/>
      <selection pane="bottomLeft" activeCell="C29" sqref="C29"/>
    </sheetView>
  </sheetViews>
  <sheetFormatPr defaultRowHeight="11.25"/>
  <cols>
    <col min="1" max="1" width="61.7109375" style="3" customWidth="1"/>
    <col min="2" max="2" width="5.42578125" style="89" customWidth="1"/>
    <col min="3" max="3" width="15.28515625" style="7" bestFit="1" customWidth="1"/>
    <col min="4" max="4" width="6" style="15" customWidth="1"/>
    <col min="5" max="16384" width="9.140625" style="3"/>
  </cols>
  <sheetData>
    <row r="1" spans="1:4" ht="12.75">
      <c r="A1" s="1" t="s">
        <v>81</v>
      </c>
      <c r="B1" s="134" t="s">
        <v>83</v>
      </c>
      <c r="C1" s="43" t="s">
        <v>10</v>
      </c>
    </row>
    <row r="2" spans="1:4" ht="12.75">
      <c r="A2" s="1" t="s">
        <v>136</v>
      </c>
      <c r="B2" s="135"/>
      <c r="C2" s="44" t="s">
        <v>11</v>
      </c>
    </row>
    <row r="3" spans="1:4">
      <c r="B3" s="135"/>
      <c r="C3" s="45" t="s">
        <v>12</v>
      </c>
    </row>
    <row r="4" spans="1:4">
      <c r="B4" s="136"/>
    </row>
    <row r="5" spans="1:4">
      <c r="A5" s="2" t="s">
        <v>175</v>
      </c>
      <c r="B5" s="94"/>
    </row>
    <row r="6" spans="1:4">
      <c r="A6" s="5" t="s">
        <v>119</v>
      </c>
      <c r="B6" s="90">
        <v>501</v>
      </c>
      <c r="C6" s="12">
        <v>15</v>
      </c>
      <c r="D6" s="18" t="s">
        <v>30</v>
      </c>
    </row>
    <row r="7" spans="1:4">
      <c r="A7" s="10" t="s">
        <v>48</v>
      </c>
      <c r="B7" s="90">
        <v>502</v>
      </c>
      <c r="C7" s="13">
        <v>20</v>
      </c>
      <c r="D7" s="18" t="s">
        <v>30</v>
      </c>
    </row>
    <row r="8" spans="1:4">
      <c r="A8" s="10" t="s">
        <v>176</v>
      </c>
      <c r="B8" s="90">
        <v>503</v>
      </c>
      <c r="C8" s="13">
        <v>50</v>
      </c>
      <c r="D8" s="24" t="s">
        <v>30</v>
      </c>
    </row>
    <row r="9" spans="1:4">
      <c r="A9" s="10" t="s">
        <v>177</v>
      </c>
      <c r="B9" s="90">
        <v>504</v>
      </c>
      <c r="C9" s="13">
        <v>20</v>
      </c>
      <c r="D9" s="24" t="s">
        <v>30</v>
      </c>
    </row>
    <row r="10" spans="1:4">
      <c r="A10" s="10" t="s">
        <v>85</v>
      </c>
      <c r="B10" s="90">
        <v>505</v>
      </c>
      <c r="C10" s="13">
        <v>15</v>
      </c>
      <c r="D10" s="24" t="s">
        <v>30</v>
      </c>
    </row>
    <row r="11" spans="1:4">
      <c r="B11" s="90"/>
    </row>
    <row r="12" spans="1:4">
      <c r="A12" s="5" t="s">
        <v>31</v>
      </c>
      <c r="B12" s="90">
        <v>506</v>
      </c>
      <c r="C12" s="14">
        <f>SUM(C6:C11)</f>
        <v>120</v>
      </c>
      <c r="D12" s="18" t="s">
        <v>30</v>
      </c>
    </row>
    <row r="13" spans="1:4">
      <c r="B13" s="92"/>
    </row>
    <row r="14" spans="1:4">
      <c r="A14" s="5" t="s">
        <v>178</v>
      </c>
      <c r="B14" s="90">
        <v>507</v>
      </c>
      <c r="C14" s="14">
        <f>C12/60</f>
        <v>2</v>
      </c>
      <c r="D14" s="18" t="s">
        <v>16</v>
      </c>
    </row>
    <row r="15" spans="1:4">
      <c r="A15" s="5" t="s">
        <v>179</v>
      </c>
      <c r="B15" s="90">
        <v>508</v>
      </c>
      <c r="C15" s="32">
        <f>C14+1</f>
        <v>3</v>
      </c>
      <c r="D15" s="24" t="s">
        <v>16</v>
      </c>
    </row>
    <row r="16" spans="1:4">
      <c r="A16" s="10" t="s">
        <v>180</v>
      </c>
      <c r="B16" s="90">
        <v>509</v>
      </c>
      <c r="C16" s="13">
        <v>0.5</v>
      </c>
      <c r="D16" s="24" t="s">
        <v>16</v>
      </c>
    </row>
    <row r="17" spans="1:4">
      <c r="A17" s="19"/>
      <c r="B17" s="90"/>
    </row>
    <row r="18" spans="1:4" ht="12" thickBot="1">
      <c r="B18" s="98"/>
    </row>
    <row r="19" spans="1:4">
      <c r="A19" s="46" t="s">
        <v>115</v>
      </c>
      <c r="B19" s="103">
        <v>510</v>
      </c>
      <c r="C19" s="47">
        <f>'Timekostprisberegning(300)'!C43*C14</f>
        <v>569.68388129724099</v>
      </c>
      <c r="D19" s="48" t="s">
        <v>5</v>
      </c>
    </row>
    <row r="20" spans="1:4">
      <c r="A20" s="49" t="s">
        <v>59</v>
      </c>
      <c r="B20" s="92">
        <v>511</v>
      </c>
      <c r="C20" s="106">
        <f>C19/100*25</f>
        <v>142.42097032431025</v>
      </c>
      <c r="D20" s="51" t="s">
        <v>5</v>
      </c>
    </row>
    <row r="21" spans="1:4" ht="12" thickBot="1">
      <c r="A21" s="52" t="s">
        <v>114</v>
      </c>
      <c r="B21" s="101">
        <v>512</v>
      </c>
      <c r="C21" s="53">
        <f>SUM(C19:C20)</f>
        <v>712.10485162155123</v>
      </c>
      <c r="D21" s="58" t="s">
        <v>5</v>
      </c>
    </row>
    <row r="22" spans="1:4">
      <c r="B22" s="92"/>
    </row>
    <row r="23" spans="1:4" ht="12" thickBot="1">
      <c r="B23" s="98"/>
      <c r="D23" s="20"/>
    </row>
    <row r="24" spans="1:4">
      <c r="A24" s="46" t="s">
        <v>116</v>
      </c>
      <c r="B24" s="103">
        <v>513</v>
      </c>
      <c r="C24" s="47">
        <f>'Timekostprisberegning(300)'!C43*C15</f>
        <v>854.52582194586148</v>
      </c>
      <c r="D24" s="48" t="s">
        <v>5</v>
      </c>
    </row>
    <row r="25" spans="1:4">
      <c r="A25" s="54" t="s">
        <v>59</v>
      </c>
      <c r="B25" s="92">
        <v>514</v>
      </c>
      <c r="C25" s="32">
        <f>C24/100*25</f>
        <v>213.63145548646537</v>
      </c>
      <c r="D25" s="55" t="s">
        <v>5</v>
      </c>
    </row>
    <row r="26" spans="1:4" ht="12" thickBot="1">
      <c r="A26" s="52" t="s">
        <v>113</v>
      </c>
      <c r="B26" s="101">
        <v>515</v>
      </c>
      <c r="C26" s="53">
        <f>SUM(C24:C25)</f>
        <v>1068.1572774323267</v>
      </c>
      <c r="D26" s="56" t="s">
        <v>5</v>
      </c>
    </row>
    <row r="27" spans="1:4">
      <c r="B27" s="92"/>
      <c r="D27" s="3"/>
    </row>
    <row r="28" spans="1:4" ht="12" thickBot="1">
      <c r="B28" s="98"/>
      <c r="D28" s="3"/>
    </row>
    <row r="29" spans="1:4">
      <c r="A29" s="46" t="s">
        <v>117</v>
      </c>
      <c r="B29" s="103">
        <v>516</v>
      </c>
      <c r="C29" s="47">
        <f>'Timekostprisberegning(300)'!C43*C16</f>
        <v>142.42097032431025</v>
      </c>
      <c r="D29" s="48" t="s">
        <v>5</v>
      </c>
    </row>
    <row r="30" spans="1:4">
      <c r="A30" s="54" t="s">
        <v>59</v>
      </c>
      <c r="B30" s="92">
        <v>517</v>
      </c>
      <c r="C30" s="32">
        <f>C29/100*25</f>
        <v>35.605242581077562</v>
      </c>
      <c r="D30" s="55" t="s">
        <v>5</v>
      </c>
    </row>
    <row r="31" spans="1:4" ht="12" thickBot="1">
      <c r="A31" s="57" t="s">
        <v>118</v>
      </c>
      <c r="B31" s="101">
        <v>518</v>
      </c>
      <c r="C31" s="53">
        <f>SUM(C29:C30)</f>
        <v>178.02621290538781</v>
      </c>
      <c r="D31" s="56" t="s">
        <v>5</v>
      </c>
    </row>
    <row r="32" spans="1:4">
      <c r="B32" s="15"/>
    </row>
    <row r="33" spans="2:2">
      <c r="B33" s="15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8" spans="2:2">
      <c r="B38" s="15"/>
    </row>
    <row r="39" spans="2:2">
      <c r="B39" s="15"/>
    </row>
    <row r="40" spans="2:2">
      <c r="B40" s="15"/>
    </row>
    <row r="41" spans="2:2">
      <c r="B41" s="15"/>
    </row>
    <row r="42" spans="2:2">
      <c r="B42" s="15"/>
    </row>
    <row r="43" spans="2:2">
      <c r="B43" s="15"/>
    </row>
    <row r="44" spans="2:2">
      <c r="B44" s="15"/>
    </row>
    <row r="45" spans="2:2">
      <c r="B45" s="15"/>
    </row>
    <row r="46" spans="2:2">
      <c r="B46" s="15"/>
    </row>
    <row r="47" spans="2:2">
      <c r="B47" s="15"/>
    </row>
    <row r="48" spans="2:2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102"/>
    </row>
    <row r="56" spans="2:2">
      <c r="B56" s="102"/>
    </row>
    <row r="57" spans="2:2">
      <c r="B57" s="102"/>
    </row>
    <row r="58" spans="2:2">
      <c r="B58" s="102"/>
    </row>
    <row r="59" spans="2:2">
      <c r="B59" s="102"/>
    </row>
    <row r="60" spans="2:2">
      <c r="B60" s="102"/>
    </row>
    <row r="61" spans="2:2">
      <c r="B61" s="102"/>
    </row>
    <row r="62" spans="2:2">
      <c r="B62" s="102"/>
    </row>
    <row r="63" spans="2:2">
      <c r="B63" s="102"/>
    </row>
    <row r="64" spans="2:2">
      <c r="B64" s="102"/>
    </row>
    <row r="65" spans="2:2">
      <c r="B65" s="102"/>
    </row>
    <row r="66" spans="2:2">
      <c r="B66" s="102"/>
    </row>
    <row r="67" spans="2:2">
      <c r="B67" s="102"/>
    </row>
    <row r="68" spans="2:2">
      <c r="B68" s="102"/>
    </row>
    <row r="69" spans="2:2">
      <c r="B69" s="102"/>
    </row>
    <row r="70" spans="2:2">
      <c r="B70" s="102"/>
    </row>
    <row r="71" spans="2:2">
      <c r="B71" s="102"/>
    </row>
    <row r="72" spans="2:2">
      <c r="B72" s="102"/>
    </row>
    <row r="73" spans="2:2">
      <c r="B73" s="102"/>
    </row>
  </sheetData>
  <mergeCells count="1">
    <mergeCell ref="B1:B4"/>
  </mergeCells>
  <phoneticPr fontId="1" type="noConversion"/>
  <pageMargins left="0.75" right="0.75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73"/>
  <sheetViews>
    <sheetView workbookViewId="0">
      <selection activeCell="C19" sqref="C19"/>
    </sheetView>
  </sheetViews>
  <sheetFormatPr defaultRowHeight="11.25"/>
  <cols>
    <col min="1" max="1" width="58" style="3" bestFit="1" customWidth="1"/>
    <col min="2" max="2" width="5.42578125" style="89" customWidth="1"/>
    <col min="3" max="3" width="15.28515625" style="7" bestFit="1" customWidth="1"/>
    <col min="4" max="4" width="6" style="15" customWidth="1"/>
    <col min="5" max="16384" width="9.140625" style="3"/>
  </cols>
  <sheetData>
    <row r="1" spans="1:4" ht="12.75">
      <c r="A1" s="1" t="s">
        <v>135</v>
      </c>
      <c r="B1" s="134" t="s">
        <v>83</v>
      </c>
      <c r="C1" s="43" t="s">
        <v>10</v>
      </c>
    </row>
    <row r="2" spans="1:4" ht="12.75">
      <c r="A2" s="1" t="s">
        <v>136</v>
      </c>
      <c r="B2" s="135"/>
      <c r="C2" s="44" t="s">
        <v>11</v>
      </c>
    </row>
    <row r="3" spans="1:4">
      <c r="B3" s="135"/>
      <c r="C3" s="45" t="s">
        <v>12</v>
      </c>
    </row>
    <row r="4" spans="1:4">
      <c r="B4" s="136"/>
    </row>
    <row r="5" spans="1:4">
      <c r="A5" s="2" t="s">
        <v>74</v>
      </c>
      <c r="B5" s="94"/>
    </row>
    <row r="6" spans="1:4">
      <c r="A6" s="5" t="s">
        <v>119</v>
      </c>
      <c r="B6" s="90">
        <v>601</v>
      </c>
      <c r="C6" s="12">
        <v>10</v>
      </c>
      <c r="D6" s="18" t="s">
        <v>30</v>
      </c>
    </row>
    <row r="7" spans="1:4">
      <c r="A7" s="10" t="s">
        <v>48</v>
      </c>
      <c r="B7" s="90">
        <v>602</v>
      </c>
      <c r="C7" s="13">
        <v>10</v>
      </c>
      <c r="D7" s="18" t="s">
        <v>30</v>
      </c>
    </row>
    <row r="8" spans="1:4">
      <c r="A8" s="10" t="s">
        <v>176</v>
      </c>
      <c r="B8" s="90">
        <v>603</v>
      </c>
      <c r="C8" s="13">
        <v>40</v>
      </c>
      <c r="D8" s="24" t="s">
        <v>30</v>
      </c>
    </row>
    <row r="9" spans="1:4">
      <c r="A9" s="10" t="s">
        <v>181</v>
      </c>
      <c r="B9" s="90">
        <v>604</v>
      </c>
      <c r="C9" s="13">
        <v>20</v>
      </c>
      <c r="D9" s="24" t="s">
        <v>30</v>
      </c>
    </row>
    <row r="10" spans="1:4">
      <c r="A10" s="10" t="s">
        <v>85</v>
      </c>
      <c r="B10" s="90">
        <v>605</v>
      </c>
      <c r="C10" s="13">
        <v>10</v>
      </c>
      <c r="D10" s="24" t="s">
        <v>30</v>
      </c>
    </row>
    <row r="11" spans="1:4">
      <c r="B11" s="90"/>
    </row>
    <row r="12" spans="1:4">
      <c r="A12" s="5" t="s">
        <v>31</v>
      </c>
      <c r="B12" s="90">
        <v>606</v>
      </c>
      <c r="C12" s="14">
        <f>SUM(C6:C11)</f>
        <v>90</v>
      </c>
      <c r="D12" s="18" t="s">
        <v>30</v>
      </c>
    </row>
    <row r="13" spans="1:4">
      <c r="B13" s="92"/>
    </row>
    <row r="14" spans="1:4">
      <c r="A14" s="5" t="s">
        <v>182</v>
      </c>
      <c r="B14" s="90">
        <v>607</v>
      </c>
      <c r="C14" s="14">
        <f>C12/60</f>
        <v>1.5</v>
      </c>
      <c r="D14" s="18" t="s">
        <v>16</v>
      </c>
    </row>
    <row r="15" spans="1:4">
      <c r="A15" s="19"/>
      <c r="B15" s="90"/>
    </row>
    <row r="16" spans="1:4" ht="12" thickBot="1">
      <c r="B16" s="98"/>
    </row>
    <row r="17" spans="1:4" ht="12" thickBot="1">
      <c r="A17" s="46" t="s">
        <v>120</v>
      </c>
      <c r="B17" s="101">
        <v>608</v>
      </c>
      <c r="C17" s="47">
        <f>'Timekostprisberegning(300)'!C43*C14</f>
        <v>427.26291097293074</v>
      </c>
      <c r="D17" s="48" t="s">
        <v>5</v>
      </c>
    </row>
    <row r="18" spans="1:4">
      <c r="A18" s="49" t="s">
        <v>59</v>
      </c>
      <c r="B18" s="90">
        <v>609</v>
      </c>
      <c r="C18" s="106">
        <f>C17/100*25</f>
        <v>106.81572774323269</v>
      </c>
      <c r="D18" s="51" t="s">
        <v>5</v>
      </c>
    </row>
    <row r="19" spans="1:4" ht="12" thickBot="1">
      <c r="A19" s="52" t="s">
        <v>121</v>
      </c>
      <c r="B19" s="101">
        <v>610</v>
      </c>
      <c r="C19" s="53">
        <f>SUM(C17:C18)</f>
        <v>534.07863871616337</v>
      </c>
      <c r="D19" s="86" t="s">
        <v>5</v>
      </c>
    </row>
    <row r="20" spans="1:4">
      <c r="B20" s="15"/>
    </row>
    <row r="21" spans="1:4">
      <c r="B21" s="15"/>
      <c r="D21" s="20"/>
    </row>
    <row r="22" spans="1:4">
      <c r="B22" s="15"/>
      <c r="D22" s="3"/>
    </row>
    <row r="23" spans="1:4">
      <c r="B23" s="15"/>
      <c r="D23" s="3"/>
    </row>
    <row r="24" spans="1:4">
      <c r="B24" s="15"/>
    </row>
    <row r="25" spans="1:4">
      <c r="B25" s="15"/>
    </row>
    <row r="26" spans="1:4">
      <c r="B26" s="15"/>
    </row>
    <row r="27" spans="1:4">
      <c r="B27" s="15"/>
    </row>
    <row r="28" spans="1:4">
      <c r="B28" s="15"/>
    </row>
    <row r="29" spans="1:4">
      <c r="B29" s="15"/>
    </row>
    <row r="30" spans="1:4">
      <c r="B30" s="15"/>
    </row>
    <row r="31" spans="1:4">
      <c r="B31" s="15"/>
    </row>
    <row r="32" spans="1:4">
      <c r="B32" s="15"/>
    </row>
    <row r="33" spans="2:2">
      <c r="B33" s="15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8" spans="2:2">
      <c r="B38" s="15"/>
    </row>
    <row r="39" spans="2:2">
      <c r="B39" s="15"/>
    </row>
    <row r="40" spans="2:2">
      <c r="B40" s="15"/>
    </row>
    <row r="41" spans="2:2">
      <c r="B41" s="15"/>
    </row>
    <row r="42" spans="2:2">
      <c r="B42" s="15"/>
    </row>
    <row r="43" spans="2:2">
      <c r="B43" s="15"/>
    </row>
    <row r="44" spans="2:2">
      <c r="B44" s="15"/>
    </row>
    <row r="45" spans="2:2">
      <c r="B45" s="15"/>
    </row>
    <row r="46" spans="2:2">
      <c r="B46" s="15"/>
    </row>
    <row r="47" spans="2:2">
      <c r="B47" s="15"/>
    </row>
    <row r="48" spans="2:2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102"/>
    </row>
    <row r="56" spans="2:2">
      <c r="B56" s="102"/>
    </row>
    <row r="57" spans="2:2">
      <c r="B57" s="102"/>
    </row>
    <row r="58" spans="2:2">
      <c r="B58" s="102"/>
    </row>
    <row r="59" spans="2:2">
      <c r="B59" s="102"/>
    </row>
    <row r="60" spans="2:2">
      <c r="B60" s="102"/>
    </row>
    <row r="61" spans="2:2">
      <c r="B61" s="102"/>
    </row>
    <row r="62" spans="2:2">
      <c r="B62" s="102"/>
    </row>
    <row r="63" spans="2:2">
      <c r="B63" s="102"/>
    </row>
    <row r="64" spans="2:2">
      <c r="B64" s="102"/>
    </row>
    <row r="65" spans="2:2">
      <c r="B65" s="102"/>
    </row>
    <row r="66" spans="2:2">
      <c r="B66" s="102"/>
    </row>
    <row r="67" spans="2:2">
      <c r="B67" s="102"/>
    </row>
    <row r="68" spans="2:2">
      <c r="B68" s="102"/>
    </row>
    <row r="69" spans="2:2">
      <c r="B69" s="102"/>
    </row>
    <row r="70" spans="2:2">
      <c r="B70" s="102"/>
    </row>
    <row r="71" spans="2:2">
      <c r="B71" s="102"/>
    </row>
    <row r="72" spans="2:2">
      <c r="B72" s="102"/>
    </row>
    <row r="73" spans="2:2">
      <c r="B73" s="102"/>
    </row>
  </sheetData>
  <mergeCells count="1">
    <mergeCell ref="B1:B4"/>
  </mergeCells>
  <phoneticPr fontId="1" type="noConversion"/>
  <pageMargins left="0.75" right="0.75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73"/>
  <sheetViews>
    <sheetView workbookViewId="0">
      <pane ySplit="4" topLeftCell="A5" activePane="bottomLeft" state="frozen"/>
      <selection pane="bottomLeft" activeCell="A2" sqref="A2"/>
    </sheetView>
  </sheetViews>
  <sheetFormatPr defaultRowHeight="11.25"/>
  <cols>
    <col min="1" max="1" width="45.5703125" style="25" customWidth="1"/>
    <col min="2" max="2" width="5.42578125" style="89" customWidth="1"/>
    <col min="3" max="3" width="15.28515625" style="25" bestFit="1" customWidth="1"/>
    <col min="4" max="4" width="5.5703125" style="30" customWidth="1"/>
    <col min="5" max="16384" width="9.140625" style="25"/>
  </cols>
  <sheetData>
    <row r="1" spans="1:5" ht="12.75">
      <c r="A1" s="1" t="s">
        <v>198</v>
      </c>
      <c r="B1" s="134" t="s">
        <v>83</v>
      </c>
      <c r="C1" s="40" t="s">
        <v>10</v>
      </c>
      <c r="D1" s="15"/>
      <c r="E1" s="3"/>
    </row>
    <row r="2" spans="1:5">
      <c r="B2" s="135"/>
      <c r="C2" s="41" t="s">
        <v>11</v>
      </c>
      <c r="D2" s="15"/>
      <c r="E2" s="3"/>
    </row>
    <row r="3" spans="1:5">
      <c r="B3" s="135"/>
      <c r="C3" s="42" t="s">
        <v>12</v>
      </c>
      <c r="D3" s="15"/>
      <c r="E3" s="3"/>
    </row>
    <row r="4" spans="1:5">
      <c r="B4" s="136"/>
    </row>
    <row r="5" spans="1:5">
      <c r="B5" s="94"/>
    </row>
    <row r="6" spans="1:5">
      <c r="A6" s="26" t="s">
        <v>134</v>
      </c>
      <c r="B6" s="90">
        <v>701</v>
      </c>
      <c r="C6" s="29">
        <v>425</v>
      </c>
      <c r="D6" s="38" t="s">
        <v>40</v>
      </c>
    </row>
    <row r="7" spans="1:5">
      <c r="A7" s="27" t="s">
        <v>32</v>
      </c>
      <c r="B7" s="90">
        <v>702</v>
      </c>
      <c r="C7" s="28">
        <v>7.4</v>
      </c>
      <c r="D7" s="39" t="s">
        <v>16</v>
      </c>
    </row>
    <row r="8" spans="1:5">
      <c r="A8" s="27" t="s">
        <v>33</v>
      </c>
      <c r="B8" s="90">
        <v>703</v>
      </c>
      <c r="C8" s="28">
        <v>2.4</v>
      </c>
      <c r="D8" s="39" t="s">
        <v>5</v>
      </c>
    </row>
    <row r="9" spans="1:5">
      <c r="B9" s="90"/>
    </row>
    <row r="10" spans="1:5">
      <c r="A10" s="26" t="s">
        <v>34</v>
      </c>
      <c r="B10" s="90">
        <v>704</v>
      </c>
      <c r="C10" s="108">
        <f>'Timekostprisberegning(300)'!C43*C7</f>
        <v>2107.8303607997918</v>
      </c>
      <c r="D10" s="38" t="s">
        <v>5</v>
      </c>
    </row>
    <row r="11" spans="1:5">
      <c r="A11" s="26" t="s">
        <v>35</v>
      </c>
      <c r="B11" s="90">
        <v>705</v>
      </c>
      <c r="C11" s="108">
        <f>C6*C8</f>
        <v>1020</v>
      </c>
      <c r="D11" s="39" t="s">
        <v>5</v>
      </c>
    </row>
    <row r="12" spans="1:5">
      <c r="B12" s="90"/>
      <c r="C12" s="109"/>
    </row>
    <row r="13" spans="1:5">
      <c r="A13" s="26" t="s">
        <v>36</v>
      </c>
      <c r="B13" s="90">
        <v>706</v>
      </c>
      <c r="C13" s="108">
        <f>SUM(C10:C12)</f>
        <v>3127.8303607997918</v>
      </c>
      <c r="D13" s="39" t="s">
        <v>5</v>
      </c>
    </row>
    <row r="14" spans="1:5">
      <c r="B14" s="90"/>
    </row>
    <row r="15" spans="1:5">
      <c r="A15" s="34" t="s">
        <v>37</v>
      </c>
      <c r="B15" s="100">
        <v>707</v>
      </c>
      <c r="C15" s="37">
        <f>C13/C6</f>
        <v>7.359600848940687</v>
      </c>
      <c r="D15" s="39" t="s">
        <v>5</v>
      </c>
    </row>
    <row r="16" spans="1:5">
      <c r="B16" s="25"/>
    </row>
    <row r="17" spans="2:2">
      <c r="B17" s="25"/>
    </row>
    <row r="18" spans="2:2">
      <c r="B18" s="25"/>
    </row>
    <row r="19" spans="2:2">
      <c r="B19" s="25"/>
    </row>
    <row r="20" spans="2:2">
      <c r="B20" s="25"/>
    </row>
    <row r="21" spans="2:2">
      <c r="B21" s="15"/>
    </row>
    <row r="22" spans="2:2">
      <c r="B22" s="15"/>
    </row>
    <row r="23" spans="2:2">
      <c r="B23" s="15"/>
    </row>
    <row r="24" spans="2:2">
      <c r="B24" s="15"/>
    </row>
    <row r="25" spans="2:2">
      <c r="B25" s="15"/>
    </row>
    <row r="26" spans="2:2">
      <c r="B26" s="15"/>
    </row>
    <row r="27" spans="2:2">
      <c r="B27" s="15"/>
    </row>
    <row r="28" spans="2:2">
      <c r="B28" s="15"/>
    </row>
    <row r="29" spans="2:2">
      <c r="B29" s="15"/>
    </row>
    <row r="30" spans="2:2">
      <c r="B30" s="15"/>
    </row>
    <row r="31" spans="2:2">
      <c r="B31" s="15"/>
    </row>
    <row r="32" spans="2:2">
      <c r="B32" s="15"/>
    </row>
    <row r="33" spans="2:2">
      <c r="B33" s="15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8" spans="2:2">
      <c r="B38" s="15"/>
    </row>
    <row r="39" spans="2:2">
      <c r="B39" s="15"/>
    </row>
    <row r="40" spans="2:2">
      <c r="B40" s="15"/>
    </row>
    <row r="41" spans="2:2">
      <c r="B41" s="15"/>
    </row>
    <row r="42" spans="2:2">
      <c r="B42" s="15"/>
    </row>
    <row r="43" spans="2:2">
      <c r="B43" s="15"/>
    </row>
    <row r="44" spans="2:2">
      <c r="B44" s="15"/>
    </row>
    <row r="45" spans="2:2">
      <c r="B45" s="15"/>
    </row>
    <row r="46" spans="2:2">
      <c r="B46" s="15"/>
    </row>
    <row r="47" spans="2:2">
      <c r="B47" s="15"/>
    </row>
    <row r="48" spans="2:2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102"/>
    </row>
    <row r="56" spans="2:2">
      <c r="B56" s="102"/>
    </row>
    <row r="57" spans="2:2">
      <c r="B57" s="102"/>
    </row>
    <row r="58" spans="2:2">
      <c r="B58" s="102"/>
    </row>
    <row r="59" spans="2:2">
      <c r="B59" s="102"/>
    </row>
    <row r="60" spans="2:2">
      <c r="B60" s="102"/>
    </row>
    <row r="61" spans="2:2">
      <c r="B61" s="102"/>
    </row>
    <row r="62" spans="2:2">
      <c r="B62" s="102"/>
    </row>
    <row r="63" spans="2:2">
      <c r="B63" s="102"/>
    </row>
    <row r="64" spans="2:2">
      <c r="B64" s="102"/>
    </row>
    <row r="65" spans="2:2">
      <c r="B65" s="102"/>
    </row>
    <row r="66" spans="2:2">
      <c r="B66" s="102"/>
    </row>
    <row r="67" spans="2:2">
      <c r="B67" s="102"/>
    </row>
    <row r="68" spans="2:2">
      <c r="B68" s="102"/>
    </row>
    <row r="69" spans="2:2">
      <c r="B69" s="102"/>
    </row>
    <row r="70" spans="2:2">
      <c r="B70" s="102"/>
    </row>
    <row r="71" spans="2:2">
      <c r="B71" s="102"/>
    </row>
    <row r="72" spans="2:2">
      <c r="B72" s="102"/>
    </row>
    <row r="73" spans="2:2">
      <c r="B73" s="102"/>
    </row>
  </sheetData>
  <mergeCells count="1">
    <mergeCell ref="B1:B4"/>
  </mergeCells>
  <phoneticPr fontId="1" type="noConversion"/>
  <pageMargins left="0.75" right="0.75" top="1" bottom="1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73"/>
  <sheetViews>
    <sheetView workbookViewId="0">
      <selection activeCell="A2" sqref="A2"/>
    </sheetView>
  </sheetViews>
  <sheetFormatPr defaultRowHeight="11.25"/>
  <cols>
    <col min="1" max="1" width="58.85546875" style="25" bestFit="1" customWidth="1"/>
    <col min="2" max="2" width="5.42578125" style="89" customWidth="1"/>
    <col min="3" max="3" width="15.28515625" style="25" bestFit="1" customWidth="1"/>
    <col min="4" max="4" width="5.5703125" style="30" customWidth="1"/>
    <col min="5" max="16384" width="9.140625" style="25"/>
  </cols>
  <sheetData>
    <row r="1" spans="1:5" ht="12.75">
      <c r="A1" s="1" t="s">
        <v>199</v>
      </c>
      <c r="B1" s="134" t="s">
        <v>83</v>
      </c>
      <c r="C1" s="40" t="s">
        <v>10</v>
      </c>
      <c r="D1" s="15"/>
      <c r="E1" s="3"/>
    </row>
    <row r="2" spans="1:5">
      <c r="B2" s="135"/>
      <c r="C2" s="41" t="s">
        <v>11</v>
      </c>
      <c r="D2" s="15"/>
      <c r="E2" s="3"/>
    </row>
    <row r="3" spans="1:5">
      <c r="B3" s="135"/>
      <c r="C3" s="42" t="s">
        <v>12</v>
      </c>
      <c r="D3" s="15"/>
      <c r="E3" s="3"/>
    </row>
    <row r="4" spans="1:5">
      <c r="B4" s="136"/>
    </row>
    <row r="5" spans="1:5">
      <c r="B5" s="94"/>
    </row>
    <row r="6" spans="1:5">
      <c r="A6" s="26" t="s">
        <v>132</v>
      </c>
      <c r="B6" s="90">
        <v>801</v>
      </c>
      <c r="C6" s="29">
        <v>350</v>
      </c>
      <c r="D6" s="38" t="s">
        <v>40</v>
      </c>
    </row>
    <row r="7" spans="1:5">
      <c r="A7" s="27" t="s">
        <v>183</v>
      </c>
      <c r="B7" s="90">
        <v>802</v>
      </c>
      <c r="C7" s="110">
        <f>'Plantning af Stedmoder(700)'!C7</f>
        <v>7.4</v>
      </c>
      <c r="D7" s="39" t="s">
        <v>16</v>
      </c>
    </row>
    <row r="8" spans="1:5">
      <c r="A8" s="27" t="s">
        <v>33</v>
      </c>
      <c r="B8" s="90">
        <v>803</v>
      </c>
      <c r="C8" s="28">
        <v>2.5</v>
      </c>
      <c r="D8" s="39" t="s">
        <v>5</v>
      </c>
    </row>
    <row r="9" spans="1:5">
      <c r="A9" s="27" t="s">
        <v>39</v>
      </c>
      <c r="B9" s="90">
        <v>804</v>
      </c>
      <c r="C9" s="28">
        <v>200</v>
      </c>
      <c r="D9" s="39" t="s">
        <v>5</v>
      </c>
    </row>
    <row r="10" spans="1:5">
      <c r="B10" s="90"/>
    </row>
    <row r="11" spans="1:5">
      <c r="A11" s="26" t="s">
        <v>34</v>
      </c>
      <c r="B11" s="90">
        <v>805</v>
      </c>
      <c r="C11" s="108">
        <f>'Timekostprisberegning(300)'!C43*C7</f>
        <v>2107.8303607997918</v>
      </c>
      <c r="D11" s="38" t="s">
        <v>5</v>
      </c>
    </row>
    <row r="12" spans="1:5">
      <c r="A12" s="26" t="s">
        <v>38</v>
      </c>
      <c r="B12" s="90">
        <v>806</v>
      </c>
      <c r="C12" s="108">
        <f>(C6*C8)+C9</f>
        <v>1075</v>
      </c>
      <c r="D12" s="39" t="s">
        <v>5</v>
      </c>
    </row>
    <row r="13" spans="1:5">
      <c r="B13" s="90"/>
      <c r="C13" s="109"/>
    </row>
    <row r="14" spans="1:5">
      <c r="A14" s="26" t="s">
        <v>36</v>
      </c>
      <c r="B14" s="90">
        <v>807</v>
      </c>
      <c r="C14" s="108">
        <f>SUM(C11:C13)</f>
        <v>3182.8303607997918</v>
      </c>
      <c r="D14" s="39" t="s">
        <v>5</v>
      </c>
    </row>
    <row r="15" spans="1:5">
      <c r="B15" s="90"/>
    </row>
    <row r="16" spans="1:5">
      <c r="A16" s="34" t="s">
        <v>133</v>
      </c>
      <c r="B16" s="100">
        <v>808</v>
      </c>
      <c r="C16" s="37">
        <f>C14/C6</f>
        <v>9.0938010308565485</v>
      </c>
      <c r="D16" s="39" t="s">
        <v>5</v>
      </c>
    </row>
    <row r="17" spans="2:2">
      <c r="B17" s="25"/>
    </row>
    <row r="18" spans="2:2">
      <c r="B18" s="25"/>
    </row>
    <row r="19" spans="2:2">
      <c r="B19" s="25"/>
    </row>
    <row r="20" spans="2:2">
      <c r="B20" s="25"/>
    </row>
    <row r="21" spans="2:2">
      <c r="B21" s="15"/>
    </row>
    <row r="22" spans="2:2">
      <c r="B22" s="15"/>
    </row>
    <row r="23" spans="2:2">
      <c r="B23" s="15"/>
    </row>
    <row r="24" spans="2:2">
      <c r="B24" s="15"/>
    </row>
    <row r="25" spans="2:2">
      <c r="B25" s="15"/>
    </row>
    <row r="26" spans="2:2">
      <c r="B26" s="15"/>
    </row>
    <row r="27" spans="2:2">
      <c r="B27" s="15"/>
    </row>
    <row r="28" spans="2:2">
      <c r="B28" s="15"/>
    </row>
    <row r="29" spans="2:2">
      <c r="B29" s="15"/>
    </row>
    <row r="30" spans="2:2">
      <c r="B30" s="15"/>
    </row>
    <row r="31" spans="2:2">
      <c r="B31" s="15"/>
    </row>
    <row r="32" spans="2:2">
      <c r="B32" s="15"/>
    </row>
    <row r="33" spans="2:2">
      <c r="B33" s="15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8" spans="2:2">
      <c r="B38" s="15"/>
    </row>
    <row r="39" spans="2:2">
      <c r="B39" s="15"/>
    </row>
    <row r="40" spans="2:2">
      <c r="B40" s="15"/>
    </row>
    <row r="41" spans="2:2">
      <c r="B41" s="15"/>
    </row>
    <row r="42" spans="2:2">
      <c r="B42" s="15"/>
    </row>
    <row r="43" spans="2:2">
      <c r="B43" s="15"/>
    </row>
    <row r="44" spans="2:2">
      <c r="B44" s="15"/>
    </row>
    <row r="45" spans="2:2">
      <c r="B45" s="15"/>
    </row>
    <row r="46" spans="2:2">
      <c r="B46" s="15"/>
    </row>
    <row r="47" spans="2:2">
      <c r="B47" s="15"/>
    </row>
    <row r="48" spans="2:2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102"/>
    </row>
    <row r="56" spans="2:2">
      <c r="B56" s="102"/>
    </row>
    <row r="57" spans="2:2">
      <c r="B57" s="102"/>
    </row>
    <row r="58" spans="2:2">
      <c r="B58" s="102"/>
    </row>
    <row r="59" spans="2:2">
      <c r="B59" s="102"/>
    </row>
    <row r="60" spans="2:2">
      <c r="B60" s="102"/>
    </row>
    <row r="61" spans="2:2">
      <c r="B61" s="102"/>
    </row>
    <row r="62" spans="2:2">
      <c r="B62" s="102"/>
    </row>
    <row r="63" spans="2:2">
      <c r="B63" s="102"/>
    </row>
    <row r="64" spans="2:2">
      <c r="B64" s="102"/>
    </row>
    <row r="65" spans="2:2">
      <c r="B65" s="102"/>
    </row>
    <row r="66" spans="2:2">
      <c r="B66" s="102"/>
    </row>
    <row r="67" spans="2:2">
      <c r="B67" s="102"/>
    </row>
    <row r="68" spans="2:2">
      <c r="B68" s="102"/>
    </row>
    <row r="69" spans="2:2">
      <c r="B69" s="102"/>
    </row>
    <row r="70" spans="2:2">
      <c r="B70" s="102"/>
    </row>
    <row r="71" spans="2:2">
      <c r="B71" s="102"/>
    </row>
    <row r="72" spans="2:2">
      <c r="B72" s="102"/>
    </row>
    <row r="73" spans="2:2">
      <c r="B73" s="102"/>
    </row>
  </sheetData>
  <mergeCells count="1">
    <mergeCell ref="B1:B4"/>
  </mergeCells>
  <phoneticPr fontId="1" type="noConversion"/>
  <pageMargins left="0.75" right="0.75" top="1" bottom="1" header="0" footer="0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73"/>
  <sheetViews>
    <sheetView workbookViewId="0">
      <pane ySplit="4" topLeftCell="A5" activePane="bottomLeft" state="frozen"/>
      <selection pane="bottomLeft" activeCell="A2" sqref="A2"/>
    </sheetView>
  </sheetViews>
  <sheetFormatPr defaultRowHeight="11.25"/>
  <cols>
    <col min="1" max="1" width="67.5703125" style="3" bestFit="1" customWidth="1"/>
    <col min="2" max="2" width="5.42578125" style="89" customWidth="1"/>
    <col min="3" max="3" width="15.28515625" style="3" bestFit="1" customWidth="1"/>
    <col min="4" max="4" width="7" style="15" customWidth="1"/>
    <col min="5" max="5" width="9.140625" style="3"/>
    <col min="6" max="6" width="20" style="3" customWidth="1"/>
    <col min="7" max="7" width="11.5703125" style="35" customWidth="1"/>
    <col min="8" max="8" width="15.85546875" style="3" customWidth="1"/>
    <col min="9" max="16384" width="9.140625" style="3"/>
  </cols>
  <sheetData>
    <row r="1" spans="1:4" ht="12.75" customHeight="1">
      <c r="A1" s="1" t="s">
        <v>200</v>
      </c>
      <c r="B1" s="134" t="s">
        <v>83</v>
      </c>
      <c r="C1" s="40" t="s">
        <v>10</v>
      </c>
    </row>
    <row r="2" spans="1:4">
      <c r="A2" s="2" t="s">
        <v>80</v>
      </c>
      <c r="B2" s="135"/>
      <c r="C2" s="41" t="s">
        <v>11</v>
      </c>
    </row>
    <row r="3" spans="1:4">
      <c r="B3" s="135"/>
      <c r="C3" s="42" t="s">
        <v>12</v>
      </c>
    </row>
    <row r="4" spans="1:4">
      <c r="B4" s="136"/>
    </row>
    <row r="5" spans="1:4">
      <c r="A5" s="33" t="s">
        <v>184</v>
      </c>
      <c r="B5" s="94"/>
    </row>
    <row r="6" spans="1:4">
      <c r="A6" s="10" t="s">
        <v>186</v>
      </c>
      <c r="B6" s="92">
        <v>901</v>
      </c>
      <c r="C6" s="31">
        <v>7.95</v>
      </c>
      <c r="D6" s="18" t="s">
        <v>5</v>
      </c>
    </row>
    <row r="7" spans="1:4">
      <c r="A7" s="10" t="s">
        <v>185</v>
      </c>
      <c r="B7" s="90">
        <v>902</v>
      </c>
      <c r="C7" s="31">
        <v>6.45</v>
      </c>
      <c r="D7" s="24" t="s">
        <v>5</v>
      </c>
    </row>
    <row r="8" spans="1:4">
      <c r="A8" s="10" t="s">
        <v>187</v>
      </c>
      <c r="B8" s="90">
        <v>903</v>
      </c>
      <c r="C8" s="31">
        <v>9.5</v>
      </c>
      <c r="D8" s="24" t="s">
        <v>5</v>
      </c>
    </row>
    <row r="9" spans="1:4">
      <c r="A9" s="10" t="s">
        <v>188</v>
      </c>
      <c r="B9" s="90">
        <v>904</v>
      </c>
      <c r="C9" s="31">
        <v>14</v>
      </c>
      <c r="D9" s="24" t="s">
        <v>5</v>
      </c>
    </row>
    <row r="10" spans="1:4">
      <c r="B10" s="90"/>
    </row>
    <row r="11" spans="1:4" ht="12" thickBot="1">
      <c r="B11" s="98"/>
    </row>
    <row r="12" spans="1:4">
      <c r="A12" s="87" t="s">
        <v>124</v>
      </c>
      <c r="B12" s="92"/>
      <c r="C12" s="84"/>
      <c r="D12" s="63"/>
    </row>
    <row r="13" spans="1:4">
      <c r="A13" s="67" t="s">
        <v>43</v>
      </c>
      <c r="B13" s="92"/>
      <c r="C13" s="19"/>
      <c r="D13" s="68"/>
    </row>
    <row r="14" spans="1:4">
      <c r="A14" s="49" t="s">
        <v>76</v>
      </c>
      <c r="B14" s="90">
        <v>905</v>
      </c>
      <c r="C14" s="88">
        <v>8</v>
      </c>
      <c r="D14" s="51" t="s">
        <v>40</v>
      </c>
    </row>
    <row r="15" spans="1:4">
      <c r="A15" s="54" t="s">
        <v>183</v>
      </c>
      <c r="B15" s="94">
        <v>906</v>
      </c>
      <c r="C15" s="111">
        <f>'Plantning af Stedmoder(700)'!C7</f>
        <v>7.4</v>
      </c>
      <c r="D15" s="55" t="s">
        <v>16</v>
      </c>
    </row>
    <row r="16" spans="1:4">
      <c r="A16" s="54" t="s">
        <v>77</v>
      </c>
      <c r="B16" s="90">
        <v>907</v>
      </c>
      <c r="C16" s="23">
        <v>8</v>
      </c>
      <c r="D16" s="55" t="s">
        <v>41</v>
      </c>
    </row>
    <row r="17" spans="1:4">
      <c r="A17" s="54" t="s">
        <v>78</v>
      </c>
      <c r="B17" s="94">
        <v>908</v>
      </c>
      <c r="C17" s="23">
        <v>9</v>
      </c>
      <c r="D17" s="55" t="s">
        <v>41</v>
      </c>
    </row>
    <row r="18" spans="1:4">
      <c r="A18" s="54" t="s">
        <v>122</v>
      </c>
      <c r="B18" s="90">
        <v>909</v>
      </c>
      <c r="C18" s="23">
        <v>3</v>
      </c>
      <c r="D18" s="55" t="s">
        <v>41</v>
      </c>
    </row>
    <row r="19" spans="1:4">
      <c r="A19" s="54" t="s">
        <v>79</v>
      </c>
      <c r="B19" s="94">
        <v>910</v>
      </c>
      <c r="C19" s="23">
        <v>1</v>
      </c>
      <c r="D19" s="55" t="s">
        <v>41</v>
      </c>
    </row>
    <row r="20" spans="1:4">
      <c r="A20" s="54" t="s">
        <v>123</v>
      </c>
      <c r="B20" s="90">
        <v>911</v>
      </c>
      <c r="C20" s="31">
        <v>120</v>
      </c>
      <c r="D20" s="55" t="s">
        <v>5</v>
      </c>
    </row>
    <row r="21" spans="1:4">
      <c r="A21" s="49"/>
      <c r="B21" s="94"/>
      <c r="C21" s="19"/>
      <c r="D21" s="68"/>
    </row>
    <row r="22" spans="1:4">
      <c r="A22" s="49"/>
      <c r="B22" s="90"/>
      <c r="C22" s="19"/>
      <c r="D22" s="68"/>
    </row>
    <row r="23" spans="1:4">
      <c r="A23" s="64" t="s">
        <v>42</v>
      </c>
      <c r="B23" s="94">
        <v>912</v>
      </c>
      <c r="C23" s="14">
        <f>'Timekostprisberegning(300)'!C43*C15</f>
        <v>2107.8303607997918</v>
      </c>
      <c r="D23" s="51" t="s">
        <v>5</v>
      </c>
    </row>
    <row r="24" spans="1:4">
      <c r="A24" s="54" t="s">
        <v>129</v>
      </c>
      <c r="B24" s="92">
        <v>913</v>
      </c>
      <c r="C24" s="32">
        <f>(((C16*C6)+(C17*C7)+(C18*C8)+(C19*C9))*C14)+C20</f>
        <v>1433.2</v>
      </c>
      <c r="D24" s="55" t="s">
        <v>5</v>
      </c>
    </row>
    <row r="25" spans="1:4">
      <c r="A25" s="49"/>
      <c r="B25" s="90"/>
      <c r="C25" s="19"/>
      <c r="D25" s="68"/>
    </row>
    <row r="26" spans="1:4">
      <c r="A26" s="49" t="s">
        <v>44</v>
      </c>
      <c r="B26" s="90">
        <v>914</v>
      </c>
      <c r="C26" s="14">
        <f>SUM(C23:C25)</f>
        <v>3541.0303607997921</v>
      </c>
      <c r="D26" s="51" t="s">
        <v>5</v>
      </c>
    </row>
    <row r="27" spans="1:4">
      <c r="A27" s="49"/>
      <c r="B27" s="90"/>
      <c r="C27" s="19"/>
      <c r="D27" s="68"/>
    </row>
    <row r="28" spans="1:4" ht="12" thickBot="1">
      <c r="A28" s="52" t="s">
        <v>126</v>
      </c>
      <c r="B28" s="98">
        <v>915</v>
      </c>
      <c r="C28" s="53">
        <f>C26/C14</f>
        <v>442.62879509997401</v>
      </c>
      <c r="D28" s="83" t="s">
        <v>5</v>
      </c>
    </row>
    <row r="29" spans="1:4">
      <c r="B29" s="91"/>
    </row>
    <row r="30" spans="1:4" ht="12" thickBot="1">
      <c r="B30" s="95"/>
    </row>
    <row r="31" spans="1:4">
      <c r="A31" s="61" t="s">
        <v>125</v>
      </c>
      <c r="B31" s="92"/>
      <c r="C31" s="84"/>
      <c r="D31" s="63"/>
    </row>
    <row r="32" spans="1:4">
      <c r="A32" s="67" t="s">
        <v>43</v>
      </c>
      <c r="B32" s="90"/>
      <c r="C32" s="19"/>
      <c r="D32" s="68"/>
    </row>
    <row r="33" spans="1:4">
      <c r="A33" s="49" t="s">
        <v>76</v>
      </c>
      <c r="B33" s="90">
        <v>916</v>
      </c>
      <c r="C33" s="88">
        <v>13</v>
      </c>
      <c r="D33" s="51" t="s">
        <v>40</v>
      </c>
    </row>
    <row r="34" spans="1:4">
      <c r="A34" s="54" t="s">
        <v>183</v>
      </c>
      <c r="B34" s="94">
        <v>917</v>
      </c>
      <c r="C34" s="111">
        <f>'Plantning af Stedmoder(700)'!C7</f>
        <v>7.4</v>
      </c>
      <c r="D34" s="55" t="s">
        <v>16</v>
      </c>
    </row>
    <row r="35" spans="1:4">
      <c r="A35" s="54" t="s">
        <v>77</v>
      </c>
      <c r="B35" s="92">
        <v>918</v>
      </c>
      <c r="C35" s="23">
        <v>10</v>
      </c>
      <c r="D35" s="55" t="s">
        <v>41</v>
      </c>
    </row>
    <row r="36" spans="1:4">
      <c r="A36" s="54" t="s">
        <v>123</v>
      </c>
      <c r="B36" s="92">
        <v>919</v>
      </c>
      <c r="C36" s="31">
        <v>130</v>
      </c>
      <c r="D36" s="55" t="s">
        <v>5</v>
      </c>
    </row>
    <row r="37" spans="1:4">
      <c r="A37" s="49"/>
      <c r="B37" s="92"/>
      <c r="C37" s="19"/>
      <c r="D37" s="68"/>
    </row>
    <row r="38" spans="1:4">
      <c r="A38" s="64" t="s">
        <v>42</v>
      </c>
      <c r="B38" s="92">
        <v>920</v>
      </c>
      <c r="C38" s="14">
        <f>'Timekostprisberegning(300)'!C43*C34</f>
        <v>2107.8303607997918</v>
      </c>
      <c r="D38" s="51" t="s">
        <v>5</v>
      </c>
    </row>
    <row r="39" spans="1:4">
      <c r="A39" s="54" t="s">
        <v>129</v>
      </c>
      <c r="B39" s="92">
        <v>921</v>
      </c>
      <c r="C39" s="32">
        <f>((C35*C6)*C33)+C36</f>
        <v>1163.5</v>
      </c>
      <c r="D39" s="55" t="s">
        <v>5</v>
      </c>
    </row>
    <row r="40" spans="1:4">
      <c r="A40" s="49"/>
      <c r="B40" s="92"/>
      <c r="C40" s="19"/>
      <c r="D40" s="68"/>
    </row>
    <row r="41" spans="1:4">
      <c r="A41" s="49" t="s">
        <v>44</v>
      </c>
      <c r="B41" s="92">
        <v>922</v>
      </c>
      <c r="C41" s="14">
        <f>SUM(C38:C39)</f>
        <v>3271.3303607997918</v>
      </c>
      <c r="D41" s="51" t="s">
        <v>5</v>
      </c>
    </row>
    <row r="42" spans="1:4">
      <c r="A42" s="49"/>
      <c r="B42" s="92"/>
      <c r="C42" s="19"/>
      <c r="D42" s="68"/>
    </row>
    <row r="43" spans="1:4" ht="12" thickBot="1">
      <c r="A43" s="52" t="s">
        <v>127</v>
      </c>
      <c r="B43" s="98">
        <v>923</v>
      </c>
      <c r="C43" s="53">
        <f>C41/C33</f>
        <v>251.64079698459938</v>
      </c>
      <c r="D43" s="83" t="s">
        <v>5</v>
      </c>
    </row>
    <row r="44" spans="1:4">
      <c r="B44" s="15"/>
    </row>
    <row r="45" spans="1:4">
      <c r="B45" s="15"/>
    </row>
    <row r="46" spans="1:4">
      <c r="B46" s="15"/>
    </row>
    <row r="47" spans="1:4">
      <c r="B47" s="15"/>
    </row>
    <row r="48" spans="1:4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7"/>
    </row>
    <row r="56" spans="2:2">
      <c r="B56" s="7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</sheetData>
  <mergeCells count="1">
    <mergeCell ref="B1:B4"/>
  </mergeCells>
  <phoneticPr fontId="1" type="noConversion"/>
  <pageMargins left="0.75" right="0.75" top="1" bottom="0.31" header="0" footer="0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73"/>
  <sheetViews>
    <sheetView workbookViewId="0">
      <pane ySplit="4" topLeftCell="A11" activePane="bottomLeft" state="frozen"/>
      <selection pane="bottomLeft" activeCell="A2" sqref="A2"/>
    </sheetView>
  </sheetViews>
  <sheetFormatPr defaultRowHeight="11.25"/>
  <cols>
    <col min="1" max="1" width="70.28515625" style="3" customWidth="1"/>
    <col min="2" max="2" width="5.42578125" style="89" customWidth="1"/>
    <col min="3" max="3" width="15.28515625" style="3" bestFit="1" customWidth="1"/>
    <col min="4" max="4" width="7" style="15" customWidth="1"/>
    <col min="5" max="5" width="9.140625" style="3"/>
    <col min="6" max="6" width="20" style="3" customWidth="1"/>
    <col min="7" max="7" width="11.5703125" style="35" customWidth="1"/>
    <col min="8" max="8" width="15.85546875" style="3" customWidth="1"/>
    <col min="9" max="16384" width="9.140625" style="3"/>
  </cols>
  <sheetData>
    <row r="1" spans="1:4" ht="12.75">
      <c r="A1" s="1" t="s">
        <v>200</v>
      </c>
      <c r="B1" s="134" t="s">
        <v>83</v>
      </c>
      <c r="C1" s="40" t="s">
        <v>10</v>
      </c>
    </row>
    <row r="2" spans="1:4">
      <c r="A2" s="2" t="s">
        <v>86</v>
      </c>
      <c r="B2" s="135"/>
      <c r="C2" s="41" t="s">
        <v>11</v>
      </c>
    </row>
    <row r="3" spans="1:4">
      <c r="B3" s="135"/>
      <c r="C3" s="42" t="s">
        <v>12</v>
      </c>
    </row>
    <row r="4" spans="1:4">
      <c r="B4" s="136"/>
    </row>
    <row r="5" spans="1:4">
      <c r="A5" s="33" t="s">
        <v>184</v>
      </c>
      <c r="B5" s="94"/>
    </row>
    <row r="6" spans="1:4">
      <c r="A6" s="10" t="s">
        <v>190</v>
      </c>
      <c r="B6" s="92">
        <v>1001</v>
      </c>
      <c r="C6" s="111">
        <f>'Gran kistegrav(900)'!C6</f>
        <v>7.95</v>
      </c>
      <c r="D6" s="18" t="s">
        <v>5</v>
      </c>
    </row>
    <row r="7" spans="1:4">
      <c r="A7" s="10" t="s">
        <v>191</v>
      </c>
      <c r="B7" s="90">
        <v>1002</v>
      </c>
      <c r="C7" s="111">
        <f>'Gran kistegrav(900)'!C7</f>
        <v>6.45</v>
      </c>
      <c r="D7" s="24" t="s">
        <v>5</v>
      </c>
    </row>
    <row r="8" spans="1:4">
      <c r="A8" s="10" t="s">
        <v>192</v>
      </c>
      <c r="B8" s="92">
        <v>1003</v>
      </c>
      <c r="C8" s="111">
        <f>'Gran kistegrav(900)'!C8</f>
        <v>9.5</v>
      </c>
      <c r="D8" s="24" t="s">
        <v>5</v>
      </c>
    </row>
    <row r="9" spans="1:4">
      <c r="A9" s="10" t="s">
        <v>193</v>
      </c>
      <c r="B9" s="90">
        <v>1004</v>
      </c>
      <c r="C9" s="111">
        <f>'Gran kistegrav(900)'!C9</f>
        <v>14</v>
      </c>
      <c r="D9" s="24" t="s">
        <v>5</v>
      </c>
    </row>
    <row r="10" spans="1:4">
      <c r="B10" s="90"/>
    </row>
    <row r="11" spans="1:4" ht="12" thickBot="1">
      <c r="B11" s="98"/>
    </row>
    <row r="12" spans="1:4">
      <c r="A12" s="87" t="s">
        <v>87</v>
      </c>
      <c r="B12" s="92"/>
      <c r="C12" s="84"/>
      <c r="D12" s="63"/>
    </row>
    <row r="13" spans="1:4">
      <c r="A13" s="67" t="s">
        <v>43</v>
      </c>
      <c r="B13" s="92"/>
      <c r="C13" s="19"/>
      <c r="D13" s="68"/>
    </row>
    <row r="14" spans="1:4">
      <c r="A14" s="49" t="s">
        <v>88</v>
      </c>
      <c r="B14" s="90">
        <v>1005</v>
      </c>
      <c r="C14" s="88">
        <v>10</v>
      </c>
      <c r="D14" s="51" t="s">
        <v>40</v>
      </c>
    </row>
    <row r="15" spans="1:4">
      <c r="A15" s="54" t="s">
        <v>189</v>
      </c>
      <c r="B15" s="94">
        <v>1006</v>
      </c>
      <c r="C15" s="111">
        <f>'Plantning af Stedmoder(700)'!C7</f>
        <v>7.4</v>
      </c>
      <c r="D15" s="55" t="s">
        <v>16</v>
      </c>
    </row>
    <row r="16" spans="1:4">
      <c r="A16" s="54" t="s">
        <v>68</v>
      </c>
      <c r="B16" s="90">
        <v>1007</v>
      </c>
      <c r="C16" s="23">
        <v>5</v>
      </c>
      <c r="D16" s="55" t="s">
        <v>41</v>
      </c>
    </row>
    <row r="17" spans="1:4">
      <c r="A17" s="54" t="s">
        <v>69</v>
      </c>
      <c r="B17" s="94">
        <v>1008</v>
      </c>
      <c r="C17" s="23">
        <v>5</v>
      </c>
      <c r="D17" s="55" t="s">
        <v>41</v>
      </c>
    </row>
    <row r="18" spans="1:4">
      <c r="A18" s="54" t="s">
        <v>70</v>
      </c>
      <c r="B18" s="90">
        <v>1009</v>
      </c>
      <c r="C18" s="23">
        <v>2</v>
      </c>
      <c r="D18" s="55" t="s">
        <v>41</v>
      </c>
    </row>
    <row r="19" spans="1:4">
      <c r="A19" s="54" t="s">
        <v>71</v>
      </c>
      <c r="B19" s="94">
        <v>1010</v>
      </c>
      <c r="C19" s="23">
        <v>0.25</v>
      </c>
      <c r="D19" s="55" t="s">
        <v>41</v>
      </c>
    </row>
    <row r="20" spans="1:4">
      <c r="A20" s="54" t="s">
        <v>128</v>
      </c>
      <c r="B20" s="90">
        <v>1011</v>
      </c>
      <c r="C20" s="31">
        <v>120</v>
      </c>
      <c r="D20" s="55" t="s">
        <v>5</v>
      </c>
    </row>
    <row r="21" spans="1:4">
      <c r="A21" s="49"/>
      <c r="B21" s="94"/>
      <c r="C21" s="19"/>
      <c r="D21" s="68"/>
    </row>
    <row r="22" spans="1:4">
      <c r="A22" s="49"/>
      <c r="B22" s="90"/>
      <c r="C22" s="19"/>
      <c r="D22" s="68"/>
    </row>
    <row r="23" spans="1:4">
      <c r="A23" s="64" t="s">
        <v>42</v>
      </c>
      <c r="B23" s="90">
        <v>1012</v>
      </c>
      <c r="C23" s="14">
        <f>'Timekostprisberegning(300)'!C43*C15</f>
        <v>2107.8303607997918</v>
      </c>
      <c r="D23" s="51" t="s">
        <v>5</v>
      </c>
    </row>
    <row r="24" spans="1:4">
      <c r="A24" s="54" t="s">
        <v>129</v>
      </c>
      <c r="B24" s="90">
        <v>1013</v>
      </c>
      <c r="C24" s="32">
        <f>(((C16*C6)+(C17*C7)+(C18*C8)+(C19*C9))*C14)+C20</f>
        <v>1065</v>
      </c>
      <c r="D24" s="55" t="s">
        <v>5</v>
      </c>
    </row>
    <row r="25" spans="1:4">
      <c r="A25" s="49"/>
      <c r="B25" s="90"/>
      <c r="C25" s="19"/>
      <c r="D25" s="68"/>
    </row>
    <row r="26" spans="1:4">
      <c r="A26" s="49" t="s">
        <v>64</v>
      </c>
      <c r="B26" s="90">
        <v>1014</v>
      </c>
      <c r="C26" s="14">
        <f>SUM(C23:C25)</f>
        <v>3172.8303607997918</v>
      </c>
      <c r="D26" s="51" t="s">
        <v>5</v>
      </c>
    </row>
    <row r="27" spans="1:4">
      <c r="A27" s="49"/>
      <c r="B27" s="90"/>
      <c r="C27" s="19"/>
      <c r="D27" s="68"/>
    </row>
    <row r="28" spans="1:4" ht="12" thickBot="1">
      <c r="A28" s="52" t="s">
        <v>130</v>
      </c>
      <c r="B28" s="98">
        <v>1015</v>
      </c>
      <c r="C28" s="53">
        <f>C26/C14</f>
        <v>317.28303607997918</v>
      </c>
      <c r="D28" s="83" t="s">
        <v>5</v>
      </c>
    </row>
    <row r="29" spans="1:4">
      <c r="B29" s="91"/>
    </row>
    <row r="30" spans="1:4" ht="12" thickBot="1">
      <c r="B30" s="95"/>
    </row>
    <row r="31" spans="1:4">
      <c r="A31" s="61" t="s">
        <v>89</v>
      </c>
      <c r="B31" s="92"/>
      <c r="C31" s="84"/>
      <c r="D31" s="63"/>
    </row>
    <row r="32" spans="1:4">
      <c r="A32" s="67" t="s">
        <v>43</v>
      </c>
      <c r="B32" s="90"/>
      <c r="C32" s="19"/>
      <c r="D32" s="68"/>
    </row>
    <row r="33" spans="1:4">
      <c r="A33" s="49" t="s">
        <v>90</v>
      </c>
      <c r="B33" s="90">
        <v>1016</v>
      </c>
      <c r="C33" s="88">
        <v>15</v>
      </c>
      <c r="D33" s="51" t="s">
        <v>40</v>
      </c>
    </row>
    <row r="34" spans="1:4">
      <c r="A34" s="54" t="s">
        <v>183</v>
      </c>
      <c r="B34" s="90">
        <v>1017</v>
      </c>
      <c r="C34" s="111">
        <f>'Plantning af Stedmoder(700)'!C7</f>
        <v>7.4</v>
      </c>
      <c r="D34" s="55" t="s">
        <v>16</v>
      </c>
    </row>
    <row r="35" spans="1:4">
      <c r="A35" s="54" t="s">
        <v>63</v>
      </c>
      <c r="B35" s="90">
        <v>1018</v>
      </c>
      <c r="C35" s="23">
        <v>6</v>
      </c>
      <c r="D35" s="55" t="s">
        <v>41</v>
      </c>
    </row>
    <row r="36" spans="1:4">
      <c r="A36" s="54" t="s">
        <v>128</v>
      </c>
      <c r="B36" s="90">
        <v>1019</v>
      </c>
      <c r="C36" s="31">
        <v>130</v>
      </c>
      <c r="D36" s="55" t="s">
        <v>5</v>
      </c>
    </row>
    <row r="37" spans="1:4">
      <c r="A37" s="49"/>
      <c r="B37" s="90"/>
      <c r="C37" s="19"/>
      <c r="D37" s="68"/>
    </row>
    <row r="38" spans="1:4">
      <c r="A38" s="64" t="s">
        <v>42</v>
      </c>
      <c r="B38" s="90">
        <v>1020</v>
      </c>
      <c r="C38" s="14">
        <f>'Timekostprisberegning(300)'!C43*C34</f>
        <v>2107.8303607997918</v>
      </c>
      <c r="D38" s="51" t="s">
        <v>5</v>
      </c>
    </row>
    <row r="39" spans="1:4">
      <c r="A39" s="54" t="s">
        <v>129</v>
      </c>
      <c r="B39" s="90">
        <v>1021</v>
      </c>
      <c r="C39" s="32">
        <f>((C35*C6)*C33)+C36</f>
        <v>845.5</v>
      </c>
      <c r="D39" s="55" t="s">
        <v>5</v>
      </c>
    </row>
    <row r="40" spans="1:4">
      <c r="A40" s="49"/>
      <c r="B40" s="92"/>
      <c r="C40" s="19"/>
      <c r="D40" s="68"/>
    </row>
    <row r="41" spans="1:4">
      <c r="A41" s="49" t="s">
        <v>44</v>
      </c>
      <c r="B41" s="90">
        <v>1022</v>
      </c>
      <c r="C41" s="14">
        <f>SUM(C38:C39)</f>
        <v>2953.3303607997918</v>
      </c>
      <c r="D41" s="51" t="s">
        <v>5</v>
      </c>
    </row>
    <row r="42" spans="1:4">
      <c r="A42" s="49"/>
      <c r="B42" s="92"/>
      <c r="C42" s="19"/>
      <c r="D42" s="68"/>
    </row>
    <row r="43" spans="1:4" ht="12" thickBot="1">
      <c r="A43" s="52" t="s">
        <v>131</v>
      </c>
      <c r="B43" s="98">
        <v>2023</v>
      </c>
      <c r="C43" s="53">
        <f>C41/C33</f>
        <v>196.88869071998613</v>
      </c>
      <c r="D43" s="83" t="s">
        <v>5</v>
      </c>
    </row>
    <row r="44" spans="1:4">
      <c r="B44" s="15"/>
    </row>
    <row r="45" spans="1:4">
      <c r="B45" s="15"/>
    </row>
    <row r="46" spans="1:4">
      <c r="B46" s="15"/>
    </row>
    <row r="47" spans="1:4">
      <c r="B47" s="15"/>
    </row>
    <row r="48" spans="1:4">
      <c r="B48" s="15"/>
    </row>
    <row r="49" spans="2:2">
      <c r="B49" s="15"/>
    </row>
    <row r="50" spans="2:2">
      <c r="B50" s="15"/>
    </row>
    <row r="51" spans="2:2">
      <c r="B51" s="15"/>
    </row>
    <row r="52" spans="2:2">
      <c r="B52" s="15"/>
    </row>
    <row r="53" spans="2:2">
      <c r="B53" s="15"/>
    </row>
    <row r="54" spans="2:2">
      <c r="B54" s="15"/>
    </row>
    <row r="55" spans="2:2">
      <c r="B55" s="7"/>
    </row>
    <row r="56" spans="2:2">
      <c r="B56" s="7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</sheetData>
  <mergeCells count="1">
    <mergeCell ref="B1:B4"/>
  </mergeCells>
  <phoneticPr fontId="1" type="noConversion"/>
  <pageMargins left="0.75" right="0.75" top="0.62" bottom="0.35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10</vt:i4>
      </vt:variant>
      <vt:variant>
        <vt:lpstr>Navngivne områder</vt:lpstr>
      </vt:variant>
      <vt:variant>
        <vt:i4>1</vt:i4>
      </vt:variant>
    </vt:vector>
  </HeadingPairs>
  <TitlesOfParts>
    <vt:vector size="11" baseType="lpstr">
      <vt:lpstr>Erhvervelse og fornyelse(100)</vt:lpstr>
      <vt:lpstr>Hæk(200)</vt:lpstr>
      <vt:lpstr>Timekostprisberegning(300)</vt:lpstr>
      <vt:lpstr>Gravning Kister og urner(400)</vt:lpstr>
      <vt:lpstr>Renholdese Kistegrav (500)</vt:lpstr>
      <vt:lpstr>Renholdelse Urnegrav(600)</vt:lpstr>
      <vt:lpstr>Plantning af Stedmoder(700)</vt:lpstr>
      <vt:lpstr>Plantning af begonia(800)</vt:lpstr>
      <vt:lpstr>Gran kistegrav(900)</vt:lpstr>
      <vt:lpstr>Gran urnegrav(1000)</vt:lpstr>
      <vt:lpstr>'Erhvervelse og fornyelse(100)'!Udskriftstitler</vt:lpstr>
    </vt:vector>
  </TitlesOfParts>
  <Company>Gladsaxe Kirkegård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FDK</dc:creator>
  <cp:lastModifiedBy>Bruger</cp:lastModifiedBy>
  <cp:lastPrinted>2009-09-10T08:02:40Z</cp:lastPrinted>
  <dcterms:created xsi:type="dcterms:W3CDTF">2007-10-15T17:48:25Z</dcterms:created>
  <dcterms:modified xsi:type="dcterms:W3CDTF">2009-09-14T08:10:56Z</dcterms:modified>
</cp:coreProperties>
</file>